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veta.ionova\Desktop\"/>
    </mc:Choice>
  </mc:AlternateContent>
  <bookViews>
    <workbookView xWindow="0" yWindow="0" windowWidth="23040" windowHeight="8370" firstSheet="2" activeTab="8"/>
  </bookViews>
  <sheets>
    <sheet name="5.Ведомость_списания" sheetId="18" state="hidden" r:id="rId1"/>
    <sheet name="4.Ресурсный_расчет" sheetId="16" state="hidden" r:id="rId2"/>
    <sheet name="ТЗ " sheetId="12" r:id="rId3"/>
    <sheet name="1.Материалы" sheetId="25" r:id="rId4"/>
    <sheet name="2.Материалы" sheetId="26" r:id="rId5"/>
    <sheet name="3.Материалы" sheetId="31" r:id="rId6"/>
    <sheet name="4.Материалы" sheetId="28" r:id="rId7"/>
    <sheet name="5.Материалы" sheetId="30" r:id="rId8"/>
    <sheet name="6.Материалы" sheetId="29" r:id="rId9"/>
    <sheet name="SourceOb.2" sheetId="11" state="hidden" r:id="rId10"/>
    <sheet name="1.Лок.смета.и.Акт" sheetId="9" state="hidden" r:id="rId11"/>
    <sheet name="SourceOb.1" sheetId="8" state="hidden" r:id="rId12"/>
    <sheet name="Source" sheetId="1" state="hidden" r:id="rId13"/>
    <sheet name="SourceObSm" sheetId="2" state="hidden" r:id="rId14"/>
    <sheet name="SmtRes" sheetId="3" state="hidden" r:id="rId15"/>
    <sheet name="EtalonRes" sheetId="4" state="hidden" r:id="rId16"/>
    <sheet name="SrcPoprs" sheetId="5" state="hidden" r:id="rId17"/>
    <sheet name="SrcKA" sheetId="6" state="hidden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Titles" localSheetId="10">'1.Лок.смета.и.Акт'!$46:$46</definedName>
    <definedName name="_xlnm.Print_Titles" localSheetId="3">'1.Материалы'!$16:$16</definedName>
    <definedName name="_xlnm.Print_Titles" localSheetId="4">'2.Материалы'!$15:$15</definedName>
    <definedName name="_xlnm.Print_Titles" localSheetId="5">'3.Материалы'!$15:$15</definedName>
    <definedName name="_xlnm.Print_Titles" localSheetId="6">'4.Материалы'!$15:$15</definedName>
    <definedName name="_xlnm.Print_Titles" localSheetId="1">'4.Ресурсный_расчет'!$18:$18</definedName>
    <definedName name="_xlnm.Print_Titles" localSheetId="0">'5.Ведомость_списания'!$24:$24</definedName>
    <definedName name="_xlnm.Print_Titles" localSheetId="7">'5.Материалы'!$16:$16</definedName>
    <definedName name="_xlnm.Print_Titles" localSheetId="8">'6.Материалы'!$20:$20</definedName>
    <definedName name="_xlnm.Print_Titles" localSheetId="2">'ТЗ '!$18:$18</definedName>
    <definedName name="_xlnm.Print_Area" localSheetId="10">'1.Лок.смета.и.Акт'!$A$1:$K$199</definedName>
    <definedName name="_xlnm.Print_Area" localSheetId="3">'1.Материалы'!$A$1:$G$29</definedName>
    <definedName name="_xlnm.Print_Area" localSheetId="4">'2.Материалы'!$A$1:$G$21</definedName>
    <definedName name="_xlnm.Print_Area" localSheetId="5">'3.Материалы'!$A$1:$G$25</definedName>
    <definedName name="_xlnm.Print_Area" localSheetId="6">'4.Материалы'!$A$1:$G$23</definedName>
    <definedName name="_xlnm.Print_Area" localSheetId="1">'4.Ресурсный_расчет'!$A$1:$G$63</definedName>
    <definedName name="_xlnm.Print_Area" localSheetId="0">'5.Ведомость_списания'!$A$1:$K$52</definedName>
    <definedName name="_xlnm.Print_Area" localSheetId="7">'5.Материалы'!$A$1:$G$53</definedName>
    <definedName name="_xlnm.Print_Area" localSheetId="8">'6.Материалы'!$A$1:$G$53</definedName>
    <definedName name="_xlnm.Print_Area" localSheetId="2">'ТЗ '!$A$1:$G$310</definedName>
  </definedNames>
  <calcPr calcId="162913" iterate="1"/>
</workbook>
</file>

<file path=xl/calcChain.xml><?xml version="1.0" encoding="utf-8"?>
<calcChain xmlns="http://schemas.openxmlformats.org/spreadsheetml/2006/main">
  <c r="P23" i="31" l="1"/>
  <c r="O23" i="31" s="1"/>
  <c r="E23" i="31" s="1"/>
  <c r="Q22" i="31"/>
  <c r="P22" i="31"/>
  <c r="P21" i="31"/>
  <c r="O21" i="31" s="1"/>
  <c r="E21" i="31" s="1"/>
  <c r="P20" i="31"/>
  <c r="O20" i="31" s="1"/>
  <c r="E20" i="31" s="1"/>
  <c r="P19" i="31"/>
  <c r="O19" i="31" s="1"/>
  <c r="E19" i="31" s="1"/>
  <c r="P18" i="31"/>
  <c r="O18" i="31" s="1"/>
  <c r="E18" i="31" s="1"/>
  <c r="P17" i="31"/>
  <c r="O17" i="31" s="1"/>
  <c r="E17" i="31" s="1"/>
  <c r="BT8" i="31"/>
  <c r="BS7" i="31"/>
  <c r="BS6" i="31"/>
  <c r="O22" i="31" l="1"/>
  <c r="E22" i="31" s="1"/>
  <c r="BZ49" i="30"/>
  <c r="BY49" i="30"/>
  <c r="BZ46" i="30"/>
  <c r="BY46" i="30"/>
  <c r="BZ43" i="30"/>
  <c r="BY43" i="30"/>
  <c r="R40" i="30"/>
  <c r="Q40" i="30"/>
  <c r="P40" i="30"/>
  <c r="R39" i="30"/>
  <c r="Q39" i="30"/>
  <c r="P39" i="30"/>
  <c r="U38" i="30"/>
  <c r="T38" i="30"/>
  <c r="S38" i="30"/>
  <c r="R38" i="30"/>
  <c r="Q38" i="30"/>
  <c r="P38" i="30"/>
  <c r="R37" i="30"/>
  <c r="Q37" i="30"/>
  <c r="P37" i="30"/>
  <c r="R36" i="30"/>
  <c r="Q36" i="30"/>
  <c r="P36" i="30"/>
  <c r="P35" i="30"/>
  <c r="O35" i="30" s="1"/>
  <c r="E35" i="30" s="1"/>
  <c r="P34" i="30"/>
  <c r="O34" i="30" s="1"/>
  <c r="E34" i="30" s="1"/>
  <c r="Q33" i="30"/>
  <c r="P33" i="30"/>
  <c r="Q32" i="30"/>
  <c r="P32" i="30"/>
  <c r="P31" i="30"/>
  <c r="O31" i="30" s="1"/>
  <c r="E31" i="30" s="1"/>
  <c r="P30" i="30"/>
  <c r="O30" i="30" s="1"/>
  <c r="E30" i="30" s="1"/>
  <c r="P29" i="30"/>
  <c r="O29" i="30" s="1"/>
  <c r="E29" i="30" s="1"/>
  <c r="P28" i="30"/>
  <c r="O28" i="30" s="1"/>
  <c r="E28" i="30" s="1"/>
  <c r="P27" i="30"/>
  <c r="O27" i="30" s="1"/>
  <c r="E27" i="30" s="1"/>
  <c r="R26" i="30"/>
  <c r="Q26" i="30"/>
  <c r="P26" i="30"/>
  <c r="P25" i="30"/>
  <c r="O25" i="30" s="1"/>
  <c r="E25" i="30" s="1"/>
  <c r="P24" i="30"/>
  <c r="O24" i="30" s="1"/>
  <c r="E24" i="30" s="1"/>
  <c r="P23" i="30"/>
  <c r="O23" i="30" s="1"/>
  <c r="E23" i="30" s="1"/>
  <c r="P22" i="30"/>
  <c r="O22" i="30" s="1"/>
  <c r="E22" i="30" s="1"/>
  <c r="P21" i="30"/>
  <c r="O21" i="30" s="1"/>
  <c r="E21" i="30" s="1"/>
  <c r="Q20" i="30"/>
  <c r="P20" i="30"/>
  <c r="P19" i="30"/>
  <c r="O19" i="30" s="1"/>
  <c r="E19" i="30" s="1"/>
  <c r="P18" i="30"/>
  <c r="O18" i="30" s="1"/>
  <c r="E18" i="30" s="1"/>
  <c r="BT9" i="30"/>
  <c r="BS8" i="30"/>
  <c r="BS7" i="30"/>
  <c r="O20" i="30" l="1"/>
  <c r="E20" i="30" s="1"/>
  <c r="O32" i="30"/>
  <c r="E32" i="30" s="1"/>
  <c r="O40" i="30"/>
  <c r="E40" i="30" s="1"/>
  <c r="O36" i="30"/>
  <c r="E36" i="30" s="1"/>
  <c r="O37" i="30"/>
  <c r="E37" i="30" s="1"/>
  <c r="O26" i="30"/>
  <c r="E26" i="30" s="1"/>
  <c r="O33" i="30"/>
  <c r="E33" i="30" s="1"/>
  <c r="O38" i="30"/>
  <c r="E38" i="30" s="1"/>
  <c r="O39" i="30"/>
  <c r="E39" i="30" s="1"/>
  <c r="BZ49" i="29" l="1"/>
  <c r="BY49" i="29"/>
  <c r="BZ46" i="29"/>
  <c r="BY46" i="29"/>
  <c r="BZ43" i="29"/>
  <c r="BY43" i="29"/>
  <c r="P40" i="29"/>
  <c r="O40" i="29" s="1"/>
  <c r="E40" i="29" s="1"/>
  <c r="P39" i="29"/>
  <c r="O39" i="29" s="1"/>
  <c r="E39" i="29" s="1"/>
  <c r="P38" i="29"/>
  <c r="O38" i="29" s="1"/>
  <c r="E38" i="29" s="1"/>
  <c r="P37" i="29"/>
  <c r="O37" i="29" s="1"/>
  <c r="E37" i="29" s="1"/>
  <c r="P36" i="29"/>
  <c r="O36" i="29" s="1"/>
  <c r="E36" i="29" s="1"/>
  <c r="P35" i="29"/>
  <c r="O35" i="29" s="1"/>
  <c r="E35" i="29" s="1"/>
  <c r="P34" i="29"/>
  <c r="O34" i="29" s="1"/>
  <c r="E34" i="29" s="1"/>
  <c r="P33" i="29"/>
  <c r="O33" i="29"/>
  <c r="E33" i="29" s="1"/>
  <c r="P32" i="29"/>
  <c r="O32" i="29" s="1"/>
  <c r="E32" i="29" s="1"/>
  <c r="P31" i="29"/>
  <c r="O31" i="29" s="1"/>
  <c r="E31" i="29" s="1"/>
  <c r="P30" i="29"/>
  <c r="O30" i="29" s="1"/>
  <c r="E30" i="29" s="1"/>
  <c r="P29" i="29"/>
  <c r="O29" i="29" s="1"/>
  <c r="E29" i="29" s="1"/>
  <c r="P28" i="29"/>
  <c r="O28" i="29" s="1"/>
  <c r="E28" i="29" s="1"/>
  <c r="P27" i="29"/>
  <c r="O27" i="29" s="1"/>
  <c r="E27" i="29" s="1"/>
  <c r="P26" i="29"/>
  <c r="O26" i="29" s="1"/>
  <c r="E26" i="29" s="1"/>
  <c r="P25" i="29"/>
  <c r="O25" i="29" s="1"/>
  <c r="E25" i="29" s="1"/>
  <c r="P24" i="29"/>
  <c r="O24" i="29"/>
  <c r="E24" i="29" s="1"/>
  <c r="P23" i="29"/>
  <c r="O23" i="29" s="1"/>
  <c r="E23" i="29" s="1"/>
  <c r="P22" i="29"/>
  <c r="O22" i="29" s="1"/>
  <c r="E22" i="29" s="1"/>
  <c r="BT13" i="29"/>
  <c r="BS12" i="29"/>
  <c r="BS11" i="29"/>
  <c r="BR6" i="29"/>
  <c r="BR5" i="29"/>
  <c r="BR4" i="29"/>
  <c r="BR3" i="29"/>
  <c r="P19" i="28" l="1"/>
  <c r="O19" i="28" s="1"/>
  <c r="E19" i="28" s="1"/>
  <c r="P18" i="28"/>
  <c r="O18" i="28" s="1"/>
  <c r="E18" i="28" s="1"/>
  <c r="P17" i="28"/>
  <c r="O17" i="28" s="1"/>
  <c r="E17" i="28" s="1"/>
  <c r="BT8" i="28"/>
  <c r="BS7" i="28"/>
  <c r="BS6" i="28"/>
  <c r="P18" i="26" l="1"/>
  <c r="O18" i="26" s="1"/>
  <c r="E18" i="26" s="1"/>
  <c r="P17" i="26"/>
  <c r="O17" i="26" s="1"/>
  <c r="E17" i="26" s="1"/>
  <c r="BT8" i="26"/>
  <c r="BS7" i="26"/>
  <c r="BS6" i="26"/>
  <c r="P28" i="25" l="1"/>
  <c r="O28" i="25" s="1"/>
  <c r="E28" i="25" s="1"/>
  <c r="P27" i="25"/>
  <c r="O27" i="25" s="1"/>
  <c r="E27" i="25" s="1"/>
  <c r="P26" i="25"/>
  <c r="O26" i="25" s="1"/>
  <c r="E26" i="25" s="1"/>
  <c r="P25" i="25"/>
  <c r="O25" i="25" s="1"/>
  <c r="E25" i="25" s="1"/>
  <c r="P24" i="25"/>
  <c r="O24" i="25" s="1"/>
  <c r="E24" i="25" s="1"/>
  <c r="P23" i="25"/>
  <c r="O23" i="25" s="1"/>
  <c r="E23" i="25" s="1"/>
  <c r="P22" i="25"/>
  <c r="O22" i="25" s="1"/>
  <c r="E22" i="25" s="1"/>
  <c r="P21" i="25"/>
  <c r="O21" i="25" s="1"/>
  <c r="E21" i="25" s="1"/>
  <c r="P20" i="25"/>
  <c r="O20" i="25" s="1"/>
  <c r="E20" i="25" s="1"/>
  <c r="P19" i="25"/>
  <c r="O19" i="25" s="1"/>
  <c r="E19" i="25" s="1"/>
  <c r="P18" i="25"/>
  <c r="O18" i="25" s="1"/>
  <c r="E18" i="25" s="1"/>
  <c r="BT9" i="25"/>
  <c r="BS8" i="25"/>
  <c r="BS7" i="25"/>
  <c r="BR113" i="12" l="1"/>
  <c r="BR108" i="12" l="1"/>
  <c r="BR66" i="12" l="1"/>
  <c r="BR50" i="12" l="1"/>
  <c r="BR43" i="12" l="1"/>
  <c r="BR34" i="12" l="1"/>
  <c r="BR16" i="12" l="1"/>
  <c r="BR24" i="12" l="1"/>
  <c r="BZ48" i="18" l="1"/>
  <c r="BY48" i="18"/>
  <c r="BZ45" i="18"/>
  <c r="BY45" i="18"/>
  <c r="BZ42" i="18"/>
  <c r="BY42" i="18"/>
  <c r="J50" i="1"/>
  <c r="J46" i="1"/>
  <c r="J44" i="1"/>
  <c r="J42" i="1"/>
  <c r="J40" i="1"/>
  <c r="J36" i="1"/>
  <c r="J34" i="1"/>
  <c r="J30" i="1"/>
  <c r="J28" i="1"/>
  <c r="BU26" i="18"/>
  <c r="BU25" i="18"/>
  <c r="DK48" i="3"/>
  <c r="DI48" i="3"/>
  <c r="DK46" i="3"/>
  <c r="DI46" i="3"/>
  <c r="DK44" i="3"/>
  <c r="DI44" i="3"/>
  <c r="DK43" i="3"/>
  <c r="DI43" i="3"/>
  <c r="DK42" i="3"/>
  <c r="DI42" i="3"/>
  <c r="DK41" i="3"/>
  <c r="DI41" i="3"/>
  <c r="DK34" i="3"/>
  <c r="DI34" i="3"/>
  <c r="DK33" i="3"/>
  <c r="DI33" i="3"/>
  <c r="DK32" i="3"/>
  <c r="DI32" i="3"/>
  <c r="DK31" i="3"/>
  <c r="DI31" i="3"/>
  <c r="DK24" i="3"/>
  <c r="DJ24" i="3"/>
  <c r="DI24" i="3"/>
  <c r="DK23" i="3"/>
  <c r="DJ23" i="3"/>
  <c r="DI23" i="3"/>
  <c r="DK18" i="3"/>
  <c r="DJ18" i="3"/>
  <c r="DI18" i="3"/>
  <c r="DK17" i="3"/>
  <c r="DJ17" i="3"/>
  <c r="DI17" i="3"/>
  <c r="DK12" i="3"/>
  <c r="DJ12" i="3"/>
  <c r="DI12" i="3"/>
  <c r="DK11" i="3"/>
  <c r="DJ11" i="3"/>
  <c r="DI11" i="3"/>
  <c r="DK6" i="3"/>
  <c r="DJ6" i="3"/>
  <c r="DI6" i="3"/>
  <c r="DK5" i="3"/>
  <c r="DJ5" i="3"/>
  <c r="DI5" i="3"/>
  <c r="BS19" i="18"/>
  <c r="BR14" i="18"/>
  <c r="BR13" i="18"/>
  <c r="BR12" i="18"/>
  <c r="BR11" i="18"/>
  <c r="CA7" i="18"/>
  <c r="CA4" i="18"/>
  <c r="CA3" i="18"/>
  <c r="BZ59" i="16"/>
  <c r="BY59" i="16"/>
  <c r="BZ56" i="16"/>
  <c r="BY56" i="16"/>
  <c r="BZ53" i="16"/>
  <c r="BY53" i="16"/>
  <c r="G51" i="16"/>
  <c r="G50" i="16"/>
  <c r="G49" i="16"/>
  <c r="G47" i="16"/>
  <c r="M45" i="16"/>
  <c r="G45" i="16"/>
  <c r="G39" i="16"/>
  <c r="F39" i="16"/>
  <c r="G40" i="16"/>
  <c r="F40" i="16"/>
  <c r="G44" i="16"/>
  <c r="F44" i="16"/>
  <c r="G41" i="16"/>
  <c r="F41" i="16"/>
  <c r="G36" i="16"/>
  <c r="F36" i="16"/>
  <c r="G43" i="16"/>
  <c r="F43" i="16"/>
  <c r="G38" i="16"/>
  <c r="F38" i="16"/>
  <c r="G42" i="16"/>
  <c r="F42" i="16"/>
  <c r="G37" i="16"/>
  <c r="F37" i="16"/>
  <c r="L33" i="16"/>
  <c r="G33" i="16"/>
  <c r="G32" i="16"/>
  <c r="F32" i="16"/>
  <c r="G31" i="16"/>
  <c r="F31" i="16"/>
  <c r="G28" i="16"/>
  <c r="F28" i="16"/>
  <c r="G27" i="16"/>
  <c r="F27" i="16"/>
  <c r="G30" i="16"/>
  <c r="F30" i="16"/>
  <c r="G29" i="16"/>
  <c r="F29" i="16"/>
  <c r="DK40" i="3"/>
  <c r="DJ40" i="3"/>
  <c r="DI40" i="3"/>
  <c r="DK39" i="3"/>
  <c r="DJ39" i="3"/>
  <c r="DI39" i="3"/>
  <c r="DK38" i="3"/>
  <c r="DJ38" i="3"/>
  <c r="DI38" i="3"/>
  <c r="DK37" i="3"/>
  <c r="DJ37" i="3"/>
  <c r="DI37" i="3"/>
  <c r="DK30" i="3"/>
  <c r="DJ30" i="3"/>
  <c r="DI30" i="3"/>
  <c r="DK29" i="3"/>
  <c r="DJ29" i="3"/>
  <c r="DI29" i="3"/>
  <c r="DK28" i="3"/>
  <c r="DJ28" i="3"/>
  <c r="DI28" i="3"/>
  <c r="DK27" i="3"/>
  <c r="DJ27" i="3"/>
  <c r="DI27" i="3"/>
  <c r="DK22" i="3"/>
  <c r="DJ22" i="3"/>
  <c r="DI22" i="3"/>
  <c r="DK21" i="3"/>
  <c r="DJ21" i="3"/>
  <c r="DI21" i="3"/>
  <c r="DK16" i="3"/>
  <c r="DJ16" i="3"/>
  <c r="DI16" i="3"/>
  <c r="DK15" i="3"/>
  <c r="DJ15" i="3"/>
  <c r="DI15" i="3"/>
  <c r="DK10" i="3"/>
  <c r="DJ10" i="3"/>
  <c r="DI10" i="3"/>
  <c r="DK9" i="3"/>
  <c r="DJ9" i="3"/>
  <c r="DI9" i="3"/>
  <c r="DK4" i="3"/>
  <c r="DJ4" i="3"/>
  <c r="DI4" i="3"/>
  <c r="DK3" i="3"/>
  <c r="DJ3" i="3"/>
  <c r="DI3" i="3"/>
  <c r="K24" i="16"/>
  <c r="G24" i="16"/>
  <c r="G22" i="16"/>
  <c r="F22" i="16"/>
  <c r="G21" i="16"/>
  <c r="F21" i="16"/>
  <c r="G23" i="16"/>
  <c r="F23" i="16"/>
  <c r="G20" i="16"/>
  <c r="F20" i="16"/>
  <c r="DK47" i="3"/>
  <c r="DJ47" i="3"/>
  <c r="DI47" i="3"/>
  <c r="DK45" i="3"/>
  <c r="DJ45" i="3"/>
  <c r="DI45" i="3"/>
  <c r="DK36" i="3"/>
  <c r="DJ36" i="3"/>
  <c r="DI36" i="3"/>
  <c r="DK35" i="3"/>
  <c r="DJ35" i="3"/>
  <c r="DI35" i="3"/>
  <c r="DK26" i="3"/>
  <c r="DJ26" i="3"/>
  <c r="DI26" i="3"/>
  <c r="DK25" i="3"/>
  <c r="DJ25" i="3"/>
  <c r="DI25" i="3"/>
  <c r="DK20" i="3"/>
  <c r="DJ20" i="3"/>
  <c r="DI20" i="3"/>
  <c r="DK19" i="3"/>
  <c r="DJ19" i="3"/>
  <c r="DI19" i="3"/>
  <c r="DK14" i="3"/>
  <c r="DJ14" i="3"/>
  <c r="DI14" i="3"/>
  <c r="DK13" i="3"/>
  <c r="DJ13" i="3"/>
  <c r="DI13" i="3"/>
  <c r="DK8" i="3"/>
  <c r="DJ8" i="3"/>
  <c r="DI8" i="3"/>
  <c r="DK7" i="3"/>
  <c r="DJ7" i="3"/>
  <c r="DI7" i="3"/>
  <c r="DK2" i="3"/>
  <c r="DJ2" i="3"/>
  <c r="DI2" i="3"/>
  <c r="DK1" i="3"/>
  <c r="DJ1" i="3"/>
  <c r="DI1" i="3"/>
  <c r="BS11" i="16"/>
  <c r="BR6" i="16"/>
  <c r="BR5" i="16"/>
  <c r="BR4" i="16"/>
  <c r="BR3" i="16"/>
  <c r="IU14" i="11"/>
  <c r="IT14" i="11"/>
  <c r="IS14" i="11"/>
  <c r="IR14" i="11"/>
  <c r="IQ14" i="11"/>
  <c r="IP14" i="11"/>
  <c r="IO14" i="11"/>
  <c r="IN14" i="11"/>
  <c r="GG14" i="11"/>
  <c r="GF14" i="11"/>
  <c r="GE14" i="11"/>
  <c r="GD14" i="11"/>
  <c r="GC14" i="11"/>
  <c r="GB14" i="11"/>
  <c r="GA14" i="11"/>
  <c r="FZ14" i="11"/>
  <c r="FY14" i="11"/>
  <c r="FX14" i="11"/>
  <c r="IM14" i="11"/>
  <c r="IL14" i="11"/>
  <c r="IK14" i="11"/>
  <c r="IJ14" i="11"/>
  <c r="II14" i="11"/>
  <c r="IH14" i="11"/>
  <c r="IG14" i="11"/>
  <c r="IF14" i="11"/>
  <c r="IE14" i="11"/>
  <c r="ID14" i="11"/>
  <c r="IC14" i="11"/>
  <c r="IB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BP109" i="11"/>
  <c r="BO109" i="11"/>
  <c r="BN109" i="11"/>
  <c r="BM109" i="11"/>
  <c r="BL109" i="11"/>
  <c r="BK109" i="11"/>
  <c r="BJ109" i="11"/>
  <c r="BI109" i="11"/>
  <c r="BH109" i="11"/>
  <c r="BG109" i="11"/>
  <c r="BF109" i="11"/>
  <c r="BE109" i="11"/>
  <c r="BD14" i="11"/>
  <c r="BC14" i="11"/>
  <c r="BB14" i="11"/>
  <c r="BA14" i="11"/>
  <c r="AZ14" i="11"/>
  <c r="AY14" i="11"/>
  <c r="DZ14" i="11"/>
  <c r="DY14" i="11"/>
  <c r="DX14" i="11"/>
  <c r="DD14" i="11"/>
  <c r="DW50" i="1"/>
  <c r="F50" i="1"/>
  <c r="EW48" i="1"/>
  <c r="AQ48" i="1"/>
  <c r="CA48" i="1"/>
  <c r="BZ48" i="1"/>
  <c r="I48" i="1"/>
  <c r="DH47" i="3" s="1"/>
  <c r="I47" i="1"/>
  <c r="DH45" i="3" s="1"/>
  <c r="DW48" i="1"/>
  <c r="DW46" i="1"/>
  <c r="F46" i="1"/>
  <c r="DW44" i="1"/>
  <c r="F44" i="1"/>
  <c r="DW42" i="1"/>
  <c r="F42" i="1"/>
  <c r="DW40" i="1"/>
  <c r="F40" i="1"/>
  <c r="EW38" i="1"/>
  <c r="AQ38" i="1"/>
  <c r="CA38" i="1"/>
  <c r="BZ38" i="1"/>
  <c r="I38" i="1"/>
  <c r="C81" i="9" s="1"/>
  <c r="I37" i="1"/>
  <c r="DH28" i="3" s="1"/>
  <c r="DW38" i="1"/>
  <c r="DW36" i="1"/>
  <c r="F36" i="1"/>
  <c r="DW34" i="1"/>
  <c r="F34" i="1"/>
  <c r="EW32" i="1"/>
  <c r="AQ32" i="1"/>
  <c r="CA32" i="1"/>
  <c r="BZ32" i="1"/>
  <c r="I32" i="1"/>
  <c r="DH24" i="3" s="1"/>
  <c r="I31" i="1"/>
  <c r="DH17" i="3" s="1"/>
  <c r="DW32" i="1"/>
  <c r="DW30" i="1"/>
  <c r="F30" i="1"/>
  <c r="DW28" i="1"/>
  <c r="F28" i="1"/>
  <c r="EW26" i="1"/>
  <c r="AQ26" i="1"/>
  <c r="CA26" i="1"/>
  <c r="BZ26" i="1"/>
  <c r="I26" i="1"/>
  <c r="I25" i="1"/>
  <c r="DH6" i="3" s="1"/>
  <c r="DW26" i="1"/>
  <c r="BZ195" i="9"/>
  <c r="BY195" i="9"/>
  <c r="BZ192" i="9"/>
  <c r="BY192" i="9"/>
  <c r="BZ189" i="9"/>
  <c r="BY189" i="9"/>
  <c r="BZ183" i="9"/>
  <c r="BY183" i="9"/>
  <c r="BZ180" i="9"/>
  <c r="BY180" i="9"/>
  <c r="K174" i="9"/>
  <c r="I174" i="9"/>
  <c r="I160" i="9"/>
  <c r="I159" i="9"/>
  <c r="I158" i="9"/>
  <c r="K153" i="9"/>
  <c r="I153" i="9"/>
  <c r="I152" i="9"/>
  <c r="I151" i="9"/>
  <c r="I150" i="9"/>
  <c r="I148" i="9"/>
  <c r="K141" i="9"/>
  <c r="I141" i="9"/>
  <c r="K140" i="9"/>
  <c r="I140" i="9"/>
  <c r="I138" i="9"/>
  <c r="K131" i="9"/>
  <c r="I131" i="9"/>
  <c r="K130" i="9"/>
  <c r="I130" i="9"/>
  <c r="K129" i="9"/>
  <c r="I129" i="9"/>
  <c r="K128" i="9"/>
  <c r="I128" i="9"/>
  <c r="K127" i="9"/>
  <c r="I127" i="9"/>
  <c r="K126" i="9"/>
  <c r="I126" i="9"/>
  <c r="K124" i="9"/>
  <c r="I124" i="9"/>
  <c r="K123" i="9"/>
  <c r="I123" i="9"/>
  <c r="K122" i="9"/>
  <c r="I122" i="9"/>
  <c r="K121" i="9"/>
  <c r="I121" i="9"/>
  <c r="K120" i="9"/>
  <c r="I120" i="9"/>
  <c r="K119" i="9"/>
  <c r="I119" i="9"/>
  <c r="K118" i="9"/>
  <c r="I118" i="9"/>
  <c r="K117" i="9"/>
  <c r="I117" i="9"/>
  <c r="K116" i="9"/>
  <c r="I116" i="9"/>
  <c r="IU14" i="8"/>
  <c r="IT14" i="8"/>
  <c r="IS14" i="8"/>
  <c r="IQ14" i="8"/>
  <c r="IP14" i="8"/>
  <c r="IO14" i="8"/>
  <c r="GG14" i="8"/>
  <c r="GF14" i="8"/>
  <c r="GD14" i="8"/>
  <c r="GC14" i="8"/>
  <c r="GA14" i="8"/>
  <c r="FZ14" i="8"/>
  <c r="FY14" i="8"/>
  <c r="IM14" i="8"/>
  <c r="IL14" i="8"/>
  <c r="IK14" i="8"/>
  <c r="IJ14" i="8"/>
  <c r="IG14" i="8"/>
  <c r="IF14" i="8"/>
  <c r="IE14" i="8"/>
  <c r="ID14" i="8"/>
  <c r="IC14" i="8"/>
  <c r="IB14" i="8"/>
  <c r="FW14" i="8"/>
  <c r="FV14" i="8"/>
  <c r="FU14" i="8"/>
  <c r="FT14" i="8"/>
  <c r="FS14" i="8"/>
  <c r="FQ14" i="8"/>
  <c r="FP14" i="8"/>
  <c r="FO14" i="8"/>
  <c r="FJ14" i="8"/>
  <c r="FI14" i="8"/>
  <c r="FH14" i="8"/>
  <c r="FG14" i="8"/>
  <c r="FF14" i="8"/>
  <c r="FD14" i="8"/>
  <c r="FA14" i="8"/>
  <c r="BP109" i="8"/>
  <c r="BO109" i="8"/>
  <c r="BN109" i="8"/>
  <c r="BM109" i="8"/>
  <c r="BL109" i="8"/>
  <c r="BK109" i="8"/>
  <c r="BJ109" i="8"/>
  <c r="BI109" i="8"/>
  <c r="BH109" i="8"/>
  <c r="BG109" i="8"/>
  <c r="BF109" i="8"/>
  <c r="BE109" i="8"/>
  <c r="BD14" i="8"/>
  <c r="BC14" i="8"/>
  <c r="BB14" i="8"/>
  <c r="BA14" i="8"/>
  <c r="AZ14" i="8"/>
  <c r="AY14" i="8"/>
  <c r="DZ14" i="8"/>
  <c r="DY14" i="8"/>
  <c r="DX14" i="8"/>
  <c r="DD14" i="8"/>
  <c r="ES49" i="1"/>
  <c r="AL49" i="1"/>
  <c r="DO48" i="1"/>
  <c r="DN48" i="1"/>
  <c r="BA48" i="1"/>
  <c r="EV48" i="1"/>
  <c r="ER48" i="1" s="1"/>
  <c r="AO48" i="1"/>
  <c r="AK48" i="1" s="1"/>
  <c r="F99" i="9" s="1"/>
  <c r="ES45" i="1"/>
  <c r="AL45" i="1"/>
  <c r="ES43" i="1"/>
  <c r="AL43" i="1"/>
  <c r="ES41" i="1"/>
  <c r="AL41" i="1"/>
  <c r="ES39" i="1"/>
  <c r="AL39" i="1"/>
  <c r="DO38" i="1"/>
  <c r="DN38" i="1"/>
  <c r="BS38" i="1"/>
  <c r="EU38" i="1"/>
  <c r="AN38" i="1"/>
  <c r="BB38" i="1"/>
  <c r="ET38" i="1"/>
  <c r="AM38" i="1"/>
  <c r="BA38" i="1"/>
  <c r="EV38" i="1"/>
  <c r="AO38" i="1"/>
  <c r="ES35" i="1"/>
  <c r="AL35" i="1"/>
  <c r="ES33" i="1"/>
  <c r="AL33" i="1"/>
  <c r="DO32" i="1"/>
  <c r="DN32" i="1"/>
  <c r="BS32" i="1"/>
  <c r="EU32" i="1"/>
  <c r="AN32" i="1"/>
  <c r="BB32" i="1"/>
  <c r="ET32" i="1"/>
  <c r="AM32" i="1"/>
  <c r="BA32" i="1"/>
  <c r="EV32" i="1"/>
  <c r="AO32" i="1"/>
  <c r="ES29" i="1"/>
  <c r="AL29" i="1"/>
  <c r="ES27" i="1"/>
  <c r="AL27" i="1"/>
  <c r="DO26" i="1"/>
  <c r="DN26" i="1"/>
  <c r="BS26" i="1"/>
  <c r="EU26" i="1"/>
  <c r="AN26" i="1"/>
  <c r="BB26" i="1"/>
  <c r="ET26" i="1"/>
  <c r="AM26" i="1"/>
  <c r="BA26" i="1"/>
  <c r="EV26" i="1"/>
  <c r="AO26" i="1"/>
  <c r="BX48" i="9"/>
  <c r="BT35" i="9"/>
  <c r="BV34" i="9"/>
  <c r="BT31" i="9"/>
  <c r="BT30" i="9"/>
  <c r="BT29" i="9"/>
  <c r="BU23" i="9"/>
  <c r="BW14" i="9"/>
  <c r="BS13" i="9"/>
  <c r="BS12" i="9"/>
  <c r="BS11" i="9"/>
  <c r="BR10" i="9"/>
  <c r="BR9" i="9"/>
  <c r="BR8" i="9"/>
  <c r="BR7" i="9"/>
  <c r="B51" i="9" l="1"/>
  <c r="DH34" i="3"/>
  <c r="DH32" i="3"/>
  <c r="B66" i="9"/>
  <c r="DH48" i="3"/>
  <c r="DH44" i="3"/>
  <c r="E38" i="18"/>
  <c r="G39" i="18" s="1"/>
  <c r="H39" i="18" s="1"/>
  <c r="J39" i="18" s="1"/>
  <c r="DH42" i="3"/>
  <c r="DH7" i="3"/>
  <c r="DH14" i="3"/>
  <c r="DH25" i="3"/>
  <c r="DH36" i="3"/>
  <c r="DH9" i="3"/>
  <c r="DH16" i="3"/>
  <c r="DH27" i="3"/>
  <c r="DH30" i="3"/>
  <c r="DH39" i="3"/>
  <c r="DH5" i="3"/>
  <c r="DH12" i="3"/>
  <c r="DH23" i="3"/>
  <c r="DH2" i="3"/>
  <c r="DH13" i="3"/>
  <c r="DH20" i="3"/>
  <c r="DH35" i="3"/>
  <c r="DH4" i="3"/>
  <c r="DH15" i="3"/>
  <c r="DH22" i="3"/>
  <c r="DH29" i="3"/>
  <c r="DH38" i="3"/>
  <c r="DH11" i="3"/>
  <c r="DH18" i="3"/>
  <c r="DH31" i="3"/>
  <c r="DH33" i="3"/>
  <c r="DH41" i="3"/>
  <c r="DH43" i="3"/>
  <c r="DH46" i="3"/>
  <c r="E33" i="18"/>
  <c r="E30" i="18"/>
  <c r="DH1" i="3"/>
  <c r="DH8" i="3"/>
  <c r="DH19" i="3"/>
  <c r="DH26" i="3"/>
  <c r="DH3" i="3"/>
  <c r="DH10" i="3"/>
  <c r="DH21" i="3"/>
  <c r="DH37" i="3"/>
  <c r="DH40" i="3"/>
  <c r="E27" i="18"/>
  <c r="ER38" i="1"/>
  <c r="AK38" i="1"/>
  <c r="F80" i="9" s="1"/>
  <c r="B81" i="9"/>
  <c r="C66" i="9"/>
  <c r="ER32" i="1"/>
  <c r="AK32" i="1"/>
  <c r="F65" i="9" s="1"/>
  <c r="AK26" i="1"/>
  <c r="F50" i="9" s="1"/>
  <c r="C51" i="9"/>
  <c r="ER26" i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1" i="3"/>
  <c r="Y1" i="3"/>
  <c r="CY1" i="3"/>
  <c r="CZ1" i="3"/>
  <c r="DA1" i="3"/>
  <c r="DB1" i="3"/>
  <c r="DC1" i="3"/>
  <c r="A2" i="3"/>
  <c r="Y2" i="3"/>
  <c r="CY2" i="3"/>
  <c r="CZ2" i="3"/>
  <c r="DA2" i="3"/>
  <c r="DB2" i="3"/>
  <c r="DC2" i="3"/>
  <c r="A3" i="3"/>
  <c r="Y3" i="3"/>
  <c r="CY3" i="3"/>
  <c r="CZ3" i="3"/>
  <c r="DB3" i="3" s="1"/>
  <c r="DA3" i="3"/>
  <c r="DC3" i="3"/>
  <c r="A4" i="3"/>
  <c r="Y4" i="3"/>
  <c r="CY4" i="3"/>
  <c r="CZ4" i="3"/>
  <c r="DA4" i="3"/>
  <c r="DB4" i="3"/>
  <c r="DC4" i="3"/>
  <c r="A5" i="3"/>
  <c r="Y5" i="3"/>
  <c r="CY5" i="3"/>
  <c r="CZ5" i="3"/>
  <c r="DB5" i="3" s="1"/>
  <c r="DA5" i="3"/>
  <c r="DC5" i="3"/>
  <c r="A6" i="3"/>
  <c r="Y6" i="3"/>
  <c r="CY6" i="3"/>
  <c r="CZ6" i="3"/>
  <c r="DB6" i="3" s="1"/>
  <c r="DA6" i="3"/>
  <c r="DC6" i="3"/>
  <c r="A7" i="3"/>
  <c r="Y7" i="3"/>
  <c r="CY7" i="3"/>
  <c r="CZ7" i="3"/>
  <c r="DB7" i="3" s="1"/>
  <c r="DA7" i="3"/>
  <c r="DC7" i="3"/>
  <c r="A8" i="3"/>
  <c r="Y8" i="3"/>
  <c r="CY8" i="3"/>
  <c r="CZ8" i="3"/>
  <c r="DB8" i="3" s="1"/>
  <c r="DA8" i="3"/>
  <c r="DC8" i="3"/>
  <c r="A9" i="3"/>
  <c r="Y9" i="3"/>
  <c r="CY9" i="3"/>
  <c r="CZ9" i="3"/>
  <c r="DA9" i="3"/>
  <c r="DB9" i="3"/>
  <c r="DC9" i="3"/>
  <c r="A10" i="3"/>
  <c r="Y10" i="3"/>
  <c r="CY10" i="3"/>
  <c r="CZ10" i="3"/>
  <c r="DB10" i="3" s="1"/>
  <c r="DA10" i="3"/>
  <c r="DC10" i="3"/>
  <c r="A11" i="3"/>
  <c r="Y11" i="3"/>
  <c r="CY11" i="3"/>
  <c r="CZ11" i="3"/>
  <c r="DA11" i="3"/>
  <c r="DB11" i="3"/>
  <c r="DC11" i="3"/>
  <c r="A12" i="3"/>
  <c r="Y12" i="3"/>
  <c r="CY12" i="3"/>
  <c r="CZ12" i="3"/>
  <c r="DA12" i="3"/>
  <c r="DB12" i="3"/>
  <c r="DC12" i="3"/>
  <c r="A13" i="3"/>
  <c r="Y13" i="3"/>
  <c r="CY13" i="3"/>
  <c r="CZ13" i="3"/>
  <c r="DA13" i="3"/>
  <c r="DB13" i="3"/>
  <c r="DC13" i="3"/>
  <c r="A14" i="3"/>
  <c r="Y14" i="3"/>
  <c r="CY14" i="3"/>
  <c r="CZ14" i="3"/>
  <c r="DA14" i="3"/>
  <c r="DB14" i="3"/>
  <c r="DC14" i="3"/>
  <c r="A15" i="3"/>
  <c r="Y15" i="3"/>
  <c r="CY15" i="3"/>
  <c r="CZ15" i="3"/>
  <c r="DB15" i="3" s="1"/>
  <c r="DA15" i="3"/>
  <c r="DC15" i="3"/>
  <c r="A16" i="3"/>
  <c r="Y16" i="3"/>
  <c r="CY16" i="3"/>
  <c r="CZ16" i="3"/>
  <c r="DA16" i="3"/>
  <c r="DB16" i="3"/>
  <c r="DC16" i="3"/>
  <c r="A17" i="3"/>
  <c r="Y17" i="3"/>
  <c r="CY17" i="3"/>
  <c r="CZ17" i="3"/>
  <c r="DB17" i="3" s="1"/>
  <c r="DA17" i="3"/>
  <c r="DC17" i="3"/>
  <c r="A18" i="3"/>
  <c r="Y18" i="3"/>
  <c r="CY18" i="3"/>
  <c r="CZ18" i="3"/>
  <c r="DB18" i="3" s="1"/>
  <c r="DA18" i="3"/>
  <c r="DC18" i="3"/>
  <c r="A19" i="3"/>
  <c r="Y19" i="3"/>
  <c r="CY19" i="3"/>
  <c r="CZ19" i="3"/>
  <c r="DB19" i="3" s="1"/>
  <c r="DA19" i="3"/>
  <c r="DC19" i="3"/>
  <c r="A20" i="3"/>
  <c r="Y20" i="3"/>
  <c r="CY20" i="3"/>
  <c r="CZ20" i="3"/>
  <c r="DB20" i="3" s="1"/>
  <c r="DA20" i="3"/>
  <c r="DC20" i="3"/>
  <c r="A21" i="3"/>
  <c r="Y21" i="3"/>
  <c r="CY21" i="3"/>
  <c r="CZ21" i="3"/>
  <c r="DA21" i="3"/>
  <c r="DB21" i="3"/>
  <c r="DC21" i="3"/>
  <c r="A22" i="3"/>
  <c r="Y22" i="3"/>
  <c r="CY22" i="3"/>
  <c r="CZ22" i="3"/>
  <c r="DB22" i="3" s="1"/>
  <c r="DA22" i="3"/>
  <c r="DC22" i="3"/>
  <c r="A23" i="3"/>
  <c r="Y23" i="3"/>
  <c r="CY23" i="3"/>
  <c r="CZ23" i="3"/>
  <c r="DA23" i="3"/>
  <c r="DB23" i="3"/>
  <c r="DC23" i="3"/>
  <c r="A24" i="3"/>
  <c r="Y24" i="3"/>
  <c r="CY24" i="3"/>
  <c r="CZ24" i="3"/>
  <c r="DA24" i="3"/>
  <c r="DB24" i="3"/>
  <c r="DC24" i="3"/>
  <c r="A25" i="3"/>
  <c r="Y25" i="3"/>
  <c r="CY25" i="3"/>
  <c r="CZ25" i="3"/>
  <c r="DA25" i="3"/>
  <c r="DB25" i="3"/>
  <c r="DC25" i="3"/>
  <c r="A26" i="3"/>
  <c r="Y26" i="3"/>
  <c r="CY26" i="3"/>
  <c r="CZ26" i="3"/>
  <c r="DA26" i="3"/>
  <c r="DB26" i="3"/>
  <c r="DC26" i="3"/>
  <c r="A27" i="3"/>
  <c r="Y27" i="3"/>
  <c r="CY27" i="3"/>
  <c r="CZ27" i="3"/>
  <c r="DB27" i="3" s="1"/>
  <c r="DA27" i="3"/>
  <c r="DC27" i="3"/>
  <c r="A28" i="3"/>
  <c r="Y28" i="3"/>
  <c r="CY28" i="3"/>
  <c r="CZ28" i="3"/>
  <c r="DA28" i="3"/>
  <c r="DB28" i="3"/>
  <c r="DC28" i="3"/>
  <c r="A29" i="3"/>
  <c r="Y29" i="3"/>
  <c r="CY29" i="3"/>
  <c r="CZ29" i="3"/>
  <c r="DB29" i="3" s="1"/>
  <c r="DA29" i="3"/>
  <c r="DC29" i="3"/>
  <c r="A30" i="3"/>
  <c r="Y30" i="3"/>
  <c r="CY30" i="3"/>
  <c r="CZ30" i="3"/>
  <c r="DA30" i="3"/>
  <c r="DB30" i="3"/>
  <c r="DC30" i="3"/>
  <c r="A31" i="3"/>
  <c r="Y31" i="3"/>
  <c r="CY31" i="3"/>
  <c r="CZ31" i="3"/>
  <c r="DB31" i="3" s="1"/>
  <c r="DA31" i="3"/>
  <c r="DC31" i="3"/>
  <c r="A32" i="3"/>
  <c r="Y32" i="3"/>
  <c r="CY32" i="3"/>
  <c r="CZ32" i="3"/>
  <c r="DB32" i="3" s="1"/>
  <c r="DA32" i="3"/>
  <c r="DC32" i="3"/>
  <c r="A33" i="3"/>
  <c r="Y33" i="3"/>
  <c r="CY33" i="3"/>
  <c r="CZ33" i="3"/>
  <c r="DB33" i="3" s="1"/>
  <c r="DA33" i="3"/>
  <c r="DC33" i="3"/>
  <c r="A34" i="3"/>
  <c r="Y34" i="3"/>
  <c r="CY34" i="3"/>
  <c r="CZ34" i="3"/>
  <c r="DA34" i="3"/>
  <c r="DB34" i="3"/>
  <c r="DC34" i="3"/>
  <c r="A35" i="3"/>
  <c r="Y35" i="3"/>
  <c r="CY35" i="3"/>
  <c r="CZ35" i="3"/>
  <c r="DB35" i="3" s="1"/>
  <c r="DA35" i="3"/>
  <c r="DC35" i="3"/>
  <c r="A36" i="3"/>
  <c r="Y36" i="3"/>
  <c r="CY36" i="3"/>
  <c r="CZ36" i="3"/>
  <c r="DA36" i="3"/>
  <c r="DB36" i="3"/>
  <c r="DC36" i="3"/>
  <c r="A37" i="3"/>
  <c r="Y37" i="3"/>
  <c r="CY37" i="3"/>
  <c r="CZ37" i="3"/>
  <c r="DB37" i="3" s="1"/>
  <c r="DA37" i="3"/>
  <c r="DC37" i="3"/>
  <c r="A38" i="3"/>
  <c r="Y38" i="3"/>
  <c r="CY38" i="3"/>
  <c r="CZ38" i="3"/>
  <c r="DA38" i="3"/>
  <c r="DB38" i="3"/>
  <c r="DC38" i="3"/>
  <c r="A39" i="3"/>
  <c r="Y39" i="3"/>
  <c r="CY39" i="3"/>
  <c r="CZ39" i="3"/>
  <c r="DB39" i="3" s="1"/>
  <c r="DA39" i="3"/>
  <c r="DC39" i="3"/>
  <c r="A40" i="3"/>
  <c r="Y40" i="3"/>
  <c r="CY40" i="3"/>
  <c r="CZ40" i="3"/>
  <c r="DA40" i="3"/>
  <c r="DB40" i="3"/>
  <c r="DC40" i="3"/>
  <c r="A41" i="3"/>
  <c r="Y41" i="3"/>
  <c r="CY41" i="3"/>
  <c r="CZ41" i="3"/>
  <c r="DB41" i="3" s="1"/>
  <c r="DA41" i="3"/>
  <c r="DC41" i="3"/>
  <c r="A42" i="3"/>
  <c r="Y42" i="3"/>
  <c r="CY42" i="3"/>
  <c r="CZ42" i="3"/>
  <c r="DA42" i="3"/>
  <c r="DB42" i="3"/>
  <c r="DC42" i="3"/>
  <c r="A43" i="3"/>
  <c r="Y43" i="3"/>
  <c r="CY43" i="3"/>
  <c r="CZ43" i="3"/>
  <c r="DB43" i="3" s="1"/>
  <c r="DA43" i="3"/>
  <c r="DC43" i="3"/>
  <c r="A44" i="3"/>
  <c r="Y44" i="3"/>
  <c r="CY44" i="3"/>
  <c r="CZ44" i="3"/>
  <c r="DB44" i="3" s="1"/>
  <c r="DA44" i="3"/>
  <c r="DC44" i="3"/>
  <c r="A45" i="3"/>
  <c r="Y45" i="3"/>
  <c r="CY45" i="3"/>
  <c r="CZ45" i="3"/>
  <c r="DB45" i="3" s="1"/>
  <c r="DA45" i="3"/>
  <c r="DC45" i="3"/>
  <c r="A46" i="3"/>
  <c r="Y46" i="3"/>
  <c r="CY46" i="3"/>
  <c r="CZ46" i="3"/>
  <c r="DA46" i="3"/>
  <c r="DB46" i="3"/>
  <c r="DC46" i="3"/>
  <c r="A47" i="3"/>
  <c r="Y47" i="3"/>
  <c r="CY47" i="3"/>
  <c r="CZ47" i="3"/>
  <c r="DA47" i="3"/>
  <c r="DB47" i="3"/>
  <c r="DC47" i="3"/>
  <c r="A48" i="3"/>
  <c r="Y48" i="3"/>
  <c r="CY48" i="3"/>
  <c r="CZ48" i="3"/>
  <c r="DA48" i="3"/>
  <c r="DB48" i="3"/>
  <c r="DC48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5" i="1"/>
  <c r="D25" i="1"/>
  <c r="K25" i="1"/>
  <c r="AC25" i="1"/>
  <c r="AE25" i="1"/>
  <c r="CS25" i="1" s="1"/>
  <c r="R25" i="1" s="1"/>
  <c r="AF25" i="1"/>
  <c r="AG25" i="1"/>
  <c r="CU25" i="1" s="1"/>
  <c r="T25" i="1" s="1"/>
  <c r="AH25" i="1"/>
  <c r="AI25" i="1"/>
  <c r="CW25" i="1" s="1"/>
  <c r="V25" i="1" s="1"/>
  <c r="AJ25" i="1"/>
  <c r="CT25" i="1"/>
  <c r="S25" i="1" s="1"/>
  <c r="CV25" i="1"/>
  <c r="U25" i="1" s="1"/>
  <c r="CX25" i="1"/>
  <c r="W25" i="1" s="1"/>
  <c r="FR25" i="1"/>
  <c r="GL25" i="1"/>
  <c r="GO25" i="1"/>
  <c r="GP25" i="1"/>
  <c r="GV25" i="1"/>
  <c r="GX25" i="1"/>
  <c r="HC25" i="1"/>
  <c r="C26" i="1"/>
  <c r="D26" i="1"/>
  <c r="I30" i="1"/>
  <c r="K26" i="1"/>
  <c r="AC26" i="1"/>
  <c r="AE26" i="1"/>
  <c r="AF26" i="1"/>
  <c r="AG26" i="1"/>
  <c r="CU26" i="1" s="1"/>
  <c r="T26" i="1" s="1"/>
  <c r="AH26" i="1"/>
  <c r="AI26" i="1"/>
  <c r="CW26" i="1" s="1"/>
  <c r="V26" i="1" s="1"/>
  <c r="AJ26" i="1"/>
  <c r="CX26" i="1"/>
  <c r="W26" i="1" s="1"/>
  <c r="FR26" i="1"/>
  <c r="GL26" i="1"/>
  <c r="GO26" i="1"/>
  <c r="GP26" i="1"/>
  <c r="GV26" i="1"/>
  <c r="GX26" i="1"/>
  <c r="HC26" i="1"/>
  <c r="I27" i="1"/>
  <c r="AC27" i="1"/>
  <c r="CQ27" i="1" s="1"/>
  <c r="AD27" i="1"/>
  <c r="CR27" i="1" s="1"/>
  <c r="AE27" i="1"/>
  <c r="AF27" i="1"/>
  <c r="AG27" i="1"/>
  <c r="AH27" i="1"/>
  <c r="CV27" i="1" s="1"/>
  <c r="AI27" i="1"/>
  <c r="AJ27" i="1"/>
  <c r="CX27" i="1" s="1"/>
  <c r="CS27" i="1"/>
  <c r="CU27" i="1"/>
  <c r="CW27" i="1"/>
  <c r="FR27" i="1"/>
  <c r="GL27" i="1"/>
  <c r="GO27" i="1"/>
  <c r="GP27" i="1"/>
  <c r="GV27" i="1"/>
  <c r="HC27" i="1"/>
  <c r="AC28" i="1"/>
  <c r="CQ28" i="1" s="1"/>
  <c r="AE28" i="1"/>
  <c r="AD28" i="1" s="1"/>
  <c r="CR28" i="1" s="1"/>
  <c r="AF28" i="1"/>
  <c r="AG28" i="1"/>
  <c r="CU28" i="1" s="1"/>
  <c r="AH28" i="1"/>
  <c r="AI28" i="1"/>
  <c r="CW28" i="1" s="1"/>
  <c r="AJ28" i="1"/>
  <c r="CT28" i="1"/>
  <c r="CV28" i="1"/>
  <c r="CX28" i="1"/>
  <c r="FR28" i="1"/>
  <c r="GL28" i="1"/>
  <c r="GO28" i="1"/>
  <c r="GP28" i="1"/>
  <c r="GV28" i="1"/>
  <c r="HC28" i="1"/>
  <c r="I29" i="1"/>
  <c r="AC29" i="1"/>
  <c r="CQ29" i="1" s="1"/>
  <c r="AD29" i="1"/>
  <c r="AE29" i="1"/>
  <c r="AF29" i="1"/>
  <c r="CT29" i="1" s="1"/>
  <c r="AG29" i="1"/>
  <c r="AH29" i="1"/>
  <c r="CV29" i="1" s="1"/>
  <c r="AI29" i="1"/>
  <c r="AJ29" i="1"/>
  <c r="CX29" i="1" s="1"/>
  <c r="CS29" i="1"/>
  <c r="CU29" i="1"/>
  <c r="CW29" i="1"/>
  <c r="FR29" i="1"/>
  <c r="GL29" i="1"/>
  <c r="GO29" i="1"/>
  <c r="GP29" i="1"/>
  <c r="GV29" i="1"/>
  <c r="HC29" i="1" s="1"/>
  <c r="AC30" i="1"/>
  <c r="AE30" i="1"/>
  <c r="CS30" i="1" s="1"/>
  <c r="AF30" i="1"/>
  <c r="AG30" i="1"/>
  <c r="CU30" i="1" s="1"/>
  <c r="AH30" i="1"/>
  <c r="AI30" i="1"/>
  <c r="CW30" i="1" s="1"/>
  <c r="AJ30" i="1"/>
  <c r="CT30" i="1"/>
  <c r="CV30" i="1"/>
  <c r="CX30" i="1"/>
  <c r="FR30" i="1"/>
  <c r="GL30" i="1"/>
  <c r="GO30" i="1"/>
  <c r="GP30" i="1"/>
  <c r="GV30" i="1"/>
  <c r="HC30" i="1"/>
  <c r="C31" i="1"/>
  <c r="D31" i="1"/>
  <c r="K31" i="1"/>
  <c r="AC31" i="1"/>
  <c r="AE31" i="1"/>
  <c r="CS31" i="1" s="1"/>
  <c r="R31" i="1" s="1"/>
  <c r="AF31" i="1"/>
  <c r="AG31" i="1"/>
  <c r="CU31" i="1" s="1"/>
  <c r="T31" i="1" s="1"/>
  <c r="AH31" i="1"/>
  <c r="AI31" i="1"/>
  <c r="CW31" i="1" s="1"/>
  <c r="V31" i="1" s="1"/>
  <c r="AJ31" i="1"/>
  <c r="CT31" i="1"/>
  <c r="S31" i="1" s="1"/>
  <c r="CV31" i="1"/>
  <c r="U31" i="1" s="1"/>
  <c r="CX31" i="1"/>
  <c r="W31" i="1" s="1"/>
  <c r="FR31" i="1"/>
  <c r="GL31" i="1"/>
  <c r="GO31" i="1"/>
  <c r="GP31" i="1"/>
  <c r="GV31" i="1"/>
  <c r="GX31" i="1"/>
  <c r="HC31" i="1"/>
  <c r="C32" i="1"/>
  <c r="D32" i="1"/>
  <c r="I36" i="1"/>
  <c r="K32" i="1"/>
  <c r="AC32" i="1"/>
  <c r="AE32" i="1"/>
  <c r="AF32" i="1"/>
  <c r="AG32" i="1"/>
  <c r="CU32" i="1" s="1"/>
  <c r="T32" i="1" s="1"/>
  <c r="AH32" i="1"/>
  <c r="AI32" i="1"/>
  <c r="CW32" i="1" s="1"/>
  <c r="V32" i="1" s="1"/>
  <c r="AJ32" i="1"/>
  <c r="CX32" i="1"/>
  <c r="W32" i="1" s="1"/>
  <c r="FR32" i="1"/>
  <c r="GL32" i="1"/>
  <c r="GO32" i="1"/>
  <c r="GP32" i="1"/>
  <c r="GV32" i="1"/>
  <c r="GX32" i="1"/>
  <c r="HC32" i="1"/>
  <c r="I33" i="1"/>
  <c r="AC33" i="1"/>
  <c r="CQ33" i="1" s="1"/>
  <c r="AD33" i="1"/>
  <c r="CR33" i="1" s="1"/>
  <c r="AE33" i="1"/>
  <c r="AF33" i="1"/>
  <c r="CT33" i="1" s="1"/>
  <c r="AG33" i="1"/>
  <c r="AH33" i="1"/>
  <c r="CV33" i="1" s="1"/>
  <c r="AI33" i="1"/>
  <c r="AJ33" i="1"/>
  <c r="CX33" i="1" s="1"/>
  <c r="CS33" i="1"/>
  <c r="CU33" i="1"/>
  <c r="CW33" i="1"/>
  <c r="FR33" i="1"/>
  <c r="GL33" i="1"/>
  <c r="GO33" i="1"/>
  <c r="GP33" i="1"/>
  <c r="GV33" i="1"/>
  <c r="HC33" i="1"/>
  <c r="AC34" i="1"/>
  <c r="AE34" i="1"/>
  <c r="AF34" i="1"/>
  <c r="AG34" i="1"/>
  <c r="CU34" i="1" s="1"/>
  <c r="AH34" i="1"/>
  <c r="CV34" i="1" s="1"/>
  <c r="AI34" i="1"/>
  <c r="CW34" i="1" s="1"/>
  <c r="AJ34" i="1"/>
  <c r="CT34" i="1"/>
  <c r="CX34" i="1"/>
  <c r="FR34" i="1"/>
  <c r="GL34" i="1"/>
  <c r="GO34" i="1"/>
  <c r="GP34" i="1"/>
  <c r="GV34" i="1"/>
  <c r="HC34" i="1"/>
  <c r="I35" i="1"/>
  <c r="T35" i="1" s="1"/>
  <c r="AC35" i="1"/>
  <c r="CQ35" i="1" s="1"/>
  <c r="AD35" i="1"/>
  <c r="CR35" i="1" s="1"/>
  <c r="AE35" i="1"/>
  <c r="AF35" i="1"/>
  <c r="CT35" i="1" s="1"/>
  <c r="AG35" i="1"/>
  <c r="AH35" i="1"/>
  <c r="CV35" i="1" s="1"/>
  <c r="AI35" i="1"/>
  <c r="AJ35" i="1"/>
  <c r="CX35" i="1" s="1"/>
  <c r="CS35" i="1"/>
  <c r="CU35" i="1"/>
  <c r="CW35" i="1"/>
  <c r="FR35" i="1"/>
  <c r="GL35" i="1"/>
  <c r="GO35" i="1"/>
  <c r="GP35" i="1"/>
  <c r="GV35" i="1"/>
  <c r="HC35" i="1"/>
  <c r="AC36" i="1"/>
  <c r="AE36" i="1"/>
  <c r="AF36" i="1"/>
  <c r="AG36" i="1"/>
  <c r="CU36" i="1" s="1"/>
  <c r="AH36" i="1"/>
  <c r="AI36" i="1"/>
  <c r="CW36" i="1" s="1"/>
  <c r="AJ36" i="1"/>
  <c r="CT36" i="1"/>
  <c r="CV36" i="1"/>
  <c r="CX36" i="1"/>
  <c r="FR36" i="1"/>
  <c r="GL36" i="1"/>
  <c r="GO36" i="1"/>
  <c r="GP36" i="1"/>
  <c r="GV36" i="1"/>
  <c r="HC36" i="1"/>
  <c r="C37" i="1"/>
  <c r="D37" i="1"/>
  <c r="I45" i="1"/>
  <c r="K37" i="1"/>
  <c r="S37" i="1"/>
  <c r="W37" i="1"/>
  <c r="AC37" i="1"/>
  <c r="AE37" i="1"/>
  <c r="AF37" i="1"/>
  <c r="AG37" i="1"/>
  <c r="CU37" i="1" s="1"/>
  <c r="AH37" i="1"/>
  <c r="AI37" i="1"/>
  <c r="CW37" i="1" s="1"/>
  <c r="AJ37" i="1"/>
  <c r="CT37" i="1"/>
  <c r="CV37" i="1"/>
  <c r="U37" i="1" s="1"/>
  <c r="CX37" i="1"/>
  <c r="FR37" i="1"/>
  <c r="GL37" i="1"/>
  <c r="GO37" i="1"/>
  <c r="GP37" i="1"/>
  <c r="GV37" i="1"/>
  <c r="HC37" i="1"/>
  <c r="C38" i="1"/>
  <c r="D38" i="1"/>
  <c r="K38" i="1"/>
  <c r="AC38" i="1"/>
  <c r="AE38" i="1"/>
  <c r="AF38" i="1"/>
  <c r="AG38" i="1"/>
  <c r="CU38" i="1" s="1"/>
  <c r="T38" i="1" s="1"/>
  <c r="AH38" i="1"/>
  <c r="AI38" i="1"/>
  <c r="CW38" i="1" s="1"/>
  <c r="V38" i="1" s="1"/>
  <c r="AJ38" i="1"/>
  <c r="CX38" i="1"/>
  <c r="W38" i="1" s="1"/>
  <c r="FR38" i="1"/>
  <c r="GL38" i="1"/>
  <c r="GO38" i="1"/>
  <c r="GP38" i="1"/>
  <c r="GV38" i="1"/>
  <c r="GX38" i="1"/>
  <c r="HC38" i="1"/>
  <c r="I39" i="1"/>
  <c r="T39" i="1" s="1"/>
  <c r="AC39" i="1"/>
  <c r="CQ39" i="1" s="1"/>
  <c r="AD39" i="1"/>
  <c r="CR39" i="1" s="1"/>
  <c r="AE39" i="1"/>
  <c r="AF39" i="1"/>
  <c r="CT39" i="1" s="1"/>
  <c r="AG39" i="1"/>
  <c r="AH39" i="1"/>
  <c r="CV39" i="1" s="1"/>
  <c r="AI39" i="1"/>
  <c r="AJ39" i="1"/>
  <c r="CX39" i="1" s="1"/>
  <c r="CS39" i="1"/>
  <c r="CU39" i="1"/>
  <c r="CW39" i="1"/>
  <c r="FR39" i="1"/>
  <c r="GL39" i="1"/>
  <c r="GO39" i="1"/>
  <c r="GP39" i="1"/>
  <c r="GV39" i="1"/>
  <c r="HC39" i="1"/>
  <c r="AC40" i="1"/>
  <c r="AE40" i="1"/>
  <c r="AF40" i="1"/>
  <c r="AG40" i="1"/>
  <c r="CU40" i="1" s="1"/>
  <c r="AH40" i="1"/>
  <c r="AI40" i="1"/>
  <c r="CW40" i="1" s="1"/>
  <c r="AJ40" i="1"/>
  <c r="CT40" i="1"/>
  <c r="CV40" i="1"/>
  <c r="CX40" i="1"/>
  <c r="FR40" i="1"/>
  <c r="GL40" i="1"/>
  <c r="GO40" i="1"/>
  <c r="GP40" i="1"/>
  <c r="GV40" i="1"/>
  <c r="HC40" i="1"/>
  <c r="I41" i="1"/>
  <c r="R41" i="1" s="1"/>
  <c r="AC41" i="1"/>
  <c r="CQ41" i="1" s="1"/>
  <c r="AD41" i="1"/>
  <c r="CR41" i="1" s="1"/>
  <c r="AE41" i="1"/>
  <c r="AF41" i="1"/>
  <c r="CT41" i="1" s="1"/>
  <c r="AG41" i="1"/>
  <c r="AH41" i="1"/>
  <c r="CV41" i="1" s="1"/>
  <c r="AI41" i="1"/>
  <c r="AJ41" i="1"/>
  <c r="CX41" i="1" s="1"/>
  <c r="CS41" i="1"/>
  <c r="CU41" i="1"/>
  <c r="CW41" i="1"/>
  <c r="FR41" i="1"/>
  <c r="GL41" i="1"/>
  <c r="GO41" i="1"/>
  <c r="GP41" i="1"/>
  <c r="GV41" i="1"/>
  <c r="HC41" i="1"/>
  <c r="I42" i="1"/>
  <c r="AC42" i="1"/>
  <c r="AD42" i="1"/>
  <c r="AB42" i="1" s="1"/>
  <c r="AE42" i="1"/>
  <c r="AF42" i="1"/>
  <c r="CT42" i="1" s="1"/>
  <c r="AG42" i="1"/>
  <c r="AH42" i="1"/>
  <c r="CV42" i="1" s="1"/>
  <c r="AI42" i="1"/>
  <c r="AJ42" i="1"/>
  <c r="CX42" i="1" s="1"/>
  <c r="CQ42" i="1"/>
  <c r="CS42" i="1"/>
  <c r="CU42" i="1"/>
  <c r="CW42" i="1"/>
  <c r="FR42" i="1"/>
  <c r="GL42" i="1"/>
  <c r="GO42" i="1"/>
  <c r="GP42" i="1"/>
  <c r="GV42" i="1"/>
  <c r="HC42" i="1" s="1"/>
  <c r="AC43" i="1"/>
  <c r="AE43" i="1"/>
  <c r="CS43" i="1" s="1"/>
  <c r="AF43" i="1"/>
  <c r="AG43" i="1"/>
  <c r="CU43" i="1" s="1"/>
  <c r="AH43" i="1"/>
  <c r="CV43" i="1" s="1"/>
  <c r="AI43" i="1"/>
  <c r="CW43" i="1" s="1"/>
  <c r="AJ43" i="1"/>
  <c r="CT43" i="1"/>
  <c r="CX43" i="1"/>
  <c r="FR43" i="1"/>
  <c r="GL43" i="1"/>
  <c r="GO43" i="1"/>
  <c r="GP43" i="1"/>
  <c r="GV43" i="1"/>
  <c r="HC43" i="1"/>
  <c r="I44" i="1"/>
  <c r="AC44" i="1"/>
  <c r="AD44" i="1"/>
  <c r="CR44" i="1" s="1"/>
  <c r="AE44" i="1"/>
  <c r="AF44" i="1"/>
  <c r="AB44" i="1" s="1"/>
  <c r="AG44" i="1"/>
  <c r="AH44" i="1"/>
  <c r="CV44" i="1" s="1"/>
  <c r="AI44" i="1"/>
  <c r="AJ44" i="1"/>
  <c r="CX44" i="1" s="1"/>
  <c r="CQ44" i="1"/>
  <c r="CS44" i="1"/>
  <c r="CU44" i="1"/>
  <c r="CW44" i="1"/>
  <c r="FR44" i="1"/>
  <c r="GL44" i="1"/>
  <c r="GO44" i="1"/>
  <c r="GP44" i="1"/>
  <c r="GV44" i="1"/>
  <c r="HC44" i="1"/>
  <c r="AC45" i="1"/>
  <c r="AE45" i="1"/>
  <c r="AD45" i="1" s="1"/>
  <c r="CR45" i="1" s="1"/>
  <c r="AF45" i="1"/>
  <c r="AG45" i="1"/>
  <c r="CU45" i="1" s="1"/>
  <c r="AH45" i="1"/>
  <c r="AI45" i="1"/>
  <c r="CW45" i="1" s="1"/>
  <c r="AJ45" i="1"/>
  <c r="CT45" i="1"/>
  <c r="CV45" i="1"/>
  <c r="CX45" i="1"/>
  <c r="FR45" i="1"/>
  <c r="GL45" i="1"/>
  <c r="GO45" i="1"/>
  <c r="GP45" i="1"/>
  <c r="GV45" i="1"/>
  <c r="HC45" i="1" s="1"/>
  <c r="I46" i="1"/>
  <c r="AC46" i="1"/>
  <c r="AD46" i="1"/>
  <c r="AB46" i="1" s="1"/>
  <c r="AE46" i="1"/>
  <c r="AF46" i="1"/>
  <c r="CT46" i="1" s="1"/>
  <c r="AG46" i="1"/>
  <c r="AH46" i="1"/>
  <c r="CV46" i="1" s="1"/>
  <c r="AI46" i="1"/>
  <c r="AJ46" i="1"/>
  <c r="CX46" i="1" s="1"/>
  <c r="CQ46" i="1"/>
  <c r="CS46" i="1"/>
  <c r="CU46" i="1"/>
  <c r="CW46" i="1"/>
  <c r="FR46" i="1"/>
  <c r="GL46" i="1"/>
  <c r="GO46" i="1"/>
  <c r="GP46" i="1"/>
  <c r="GV46" i="1"/>
  <c r="HC46" i="1" s="1"/>
  <c r="C47" i="1"/>
  <c r="D47" i="1"/>
  <c r="K47" i="1"/>
  <c r="AC47" i="1"/>
  <c r="CQ47" i="1" s="1"/>
  <c r="P47" i="1" s="1"/>
  <c r="AD47" i="1"/>
  <c r="AE47" i="1"/>
  <c r="AF47" i="1"/>
  <c r="CT47" i="1" s="1"/>
  <c r="S47" i="1" s="1"/>
  <c r="AG47" i="1"/>
  <c r="AH47" i="1"/>
  <c r="CV47" i="1" s="1"/>
  <c r="U47" i="1" s="1"/>
  <c r="AI47" i="1"/>
  <c r="AJ47" i="1"/>
  <c r="CX47" i="1" s="1"/>
  <c r="W47" i="1" s="1"/>
  <c r="CS47" i="1"/>
  <c r="R47" i="1" s="1"/>
  <c r="CU47" i="1"/>
  <c r="T47" i="1" s="1"/>
  <c r="CW47" i="1"/>
  <c r="V47" i="1" s="1"/>
  <c r="FR47" i="1"/>
  <c r="GL47" i="1"/>
  <c r="GO47" i="1"/>
  <c r="GP47" i="1"/>
  <c r="GV47" i="1"/>
  <c r="HC47" i="1" s="1"/>
  <c r="GX47" i="1" s="1"/>
  <c r="C48" i="1"/>
  <c r="D48" i="1"/>
  <c r="K48" i="1"/>
  <c r="AC48" i="1"/>
  <c r="CQ48" i="1" s="1"/>
  <c r="P48" i="1" s="1"/>
  <c r="AD48" i="1"/>
  <c r="AE48" i="1"/>
  <c r="AF48" i="1"/>
  <c r="AG48" i="1"/>
  <c r="AH48" i="1"/>
  <c r="AI48" i="1"/>
  <c r="AJ48" i="1"/>
  <c r="CX48" i="1" s="1"/>
  <c r="W48" i="1" s="1"/>
  <c r="CS48" i="1"/>
  <c r="R48" i="1" s="1"/>
  <c r="CU48" i="1"/>
  <c r="T48" i="1" s="1"/>
  <c r="CW48" i="1"/>
  <c r="V48" i="1" s="1"/>
  <c r="FR48" i="1"/>
  <c r="GL48" i="1"/>
  <c r="GO48" i="1"/>
  <c r="GP48" i="1"/>
  <c r="GV48" i="1"/>
  <c r="HC48" i="1" s="1"/>
  <c r="GX48" i="1" s="1"/>
  <c r="I49" i="1"/>
  <c r="GX49" i="1" s="1"/>
  <c r="AC49" i="1"/>
  <c r="AE49" i="1"/>
  <c r="CS49" i="1" s="1"/>
  <c r="AF49" i="1"/>
  <c r="AG49" i="1"/>
  <c r="CU49" i="1" s="1"/>
  <c r="AH49" i="1"/>
  <c r="CV49" i="1" s="1"/>
  <c r="AI49" i="1"/>
  <c r="CW49" i="1" s="1"/>
  <c r="AJ49" i="1"/>
  <c r="CT49" i="1"/>
  <c r="CX49" i="1"/>
  <c r="FR49" i="1"/>
  <c r="GL49" i="1"/>
  <c r="GO49" i="1"/>
  <c r="GP49" i="1"/>
  <c r="GV49" i="1"/>
  <c r="HC49" i="1"/>
  <c r="I50" i="1"/>
  <c r="AC50" i="1"/>
  <c r="AD50" i="1"/>
  <c r="CR50" i="1" s="1"/>
  <c r="AE50" i="1"/>
  <c r="AF50" i="1"/>
  <c r="AB50" i="1" s="1"/>
  <c r="AG50" i="1"/>
  <c r="AH50" i="1"/>
  <c r="CV50" i="1" s="1"/>
  <c r="AI50" i="1"/>
  <c r="AJ50" i="1"/>
  <c r="CX50" i="1" s="1"/>
  <c r="CQ50" i="1"/>
  <c r="CS50" i="1"/>
  <c r="CU50" i="1"/>
  <c r="CW50" i="1"/>
  <c r="FR50" i="1"/>
  <c r="GL50" i="1"/>
  <c r="GO50" i="1"/>
  <c r="GP50" i="1"/>
  <c r="GV50" i="1"/>
  <c r="HC50" i="1"/>
  <c r="B52" i="1"/>
  <c r="B22" i="1" s="1"/>
  <c r="C52" i="1"/>
  <c r="C22" i="1" s="1"/>
  <c r="D52" i="1"/>
  <c r="D22" i="1" s="1"/>
  <c r="F52" i="1"/>
  <c r="F22" i="1" s="1"/>
  <c r="G52" i="1"/>
  <c r="G22" i="1" s="1"/>
  <c r="BX52" i="1"/>
  <c r="BX22" i="1" s="1"/>
  <c r="CK52" i="1"/>
  <c r="CL52" i="1"/>
  <c r="CM52" i="1"/>
  <c r="CM22" i="1" s="1"/>
  <c r="EG52" i="1"/>
  <c r="EG22" i="1" s="1"/>
  <c r="FP52" i="1"/>
  <c r="FP22" i="1" s="1"/>
  <c r="GC52" i="1"/>
  <c r="GC22" i="1" s="1"/>
  <c r="GD52" i="1"/>
  <c r="GD22" i="1" s="1"/>
  <c r="GE52" i="1"/>
  <c r="GE22" i="1" s="1"/>
  <c r="P56" i="1"/>
  <c r="B82" i="1"/>
  <c r="B18" i="1" s="1"/>
  <c r="C82" i="1"/>
  <c r="C18" i="1" s="1"/>
  <c r="D82" i="1"/>
  <c r="D18" i="1" s="1"/>
  <c r="F82" i="1"/>
  <c r="F18" i="1" s="1"/>
  <c r="G82" i="1"/>
  <c r="G18" i="1" s="1"/>
  <c r="EG82" i="1"/>
  <c r="EG18" i="1" s="1"/>
  <c r="P86" i="1"/>
  <c r="F12" i="6"/>
  <c r="G12" i="6"/>
  <c r="CY12" i="6"/>
  <c r="S30" i="1" l="1"/>
  <c r="V44" i="1"/>
  <c r="T30" i="1"/>
  <c r="W35" i="1"/>
  <c r="V46" i="1"/>
  <c r="W46" i="1"/>
  <c r="W33" i="1"/>
  <c r="W29" i="1"/>
  <c r="G28" i="18"/>
  <c r="G29" i="18"/>
  <c r="G32" i="18"/>
  <c r="G31" i="18"/>
  <c r="W44" i="1"/>
  <c r="G34" i="18"/>
  <c r="G35" i="18"/>
  <c r="G36" i="18"/>
  <c r="G37" i="18"/>
  <c r="I39" i="18"/>
  <c r="V35" i="1"/>
  <c r="S29" i="1"/>
  <c r="E104" i="9"/>
  <c r="E94" i="9"/>
  <c r="E92" i="9"/>
  <c r="E75" i="9"/>
  <c r="T49" i="1"/>
  <c r="S49" i="1"/>
  <c r="S46" i="1"/>
  <c r="V50" i="1"/>
  <c r="S33" i="1"/>
  <c r="W50" i="1"/>
  <c r="S45" i="1"/>
  <c r="T45" i="1"/>
  <c r="T41" i="1"/>
  <c r="GX50" i="1"/>
  <c r="R50" i="1"/>
  <c r="U50" i="1"/>
  <c r="W27" i="1"/>
  <c r="CT48" i="1"/>
  <c r="S48" i="1" s="1"/>
  <c r="CY48" i="1" s="1"/>
  <c r="X48" i="1" s="1"/>
  <c r="H100" i="9"/>
  <c r="T102" i="9"/>
  <c r="H102" i="9"/>
  <c r="T101" i="9"/>
  <c r="H101" i="9"/>
  <c r="T100" i="9"/>
  <c r="T104" i="9"/>
  <c r="H104" i="9"/>
  <c r="CV48" i="1"/>
  <c r="U48" i="1" s="1"/>
  <c r="H103" i="9"/>
  <c r="W49" i="1"/>
  <c r="V49" i="1"/>
  <c r="R49" i="1"/>
  <c r="Q50" i="1"/>
  <c r="P50" i="1"/>
  <c r="T50" i="1"/>
  <c r="U49" i="1"/>
  <c r="S35" i="1"/>
  <c r="V33" i="1"/>
  <c r="W45" i="1"/>
  <c r="V45" i="1"/>
  <c r="Q45" i="1"/>
  <c r="H92" i="9"/>
  <c r="H88" i="9"/>
  <c r="T88" i="9"/>
  <c r="H84" i="9"/>
  <c r="GM84" i="9"/>
  <c r="T90" i="9"/>
  <c r="H90" i="9"/>
  <c r="GX46" i="1"/>
  <c r="U45" i="1"/>
  <c r="CQ45" i="1"/>
  <c r="P45" i="1" s="1"/>
  <c r="T94" i="9"/>
  <c r="H94" i="9"/>
  <c r="GX42" i="1"/>
  <c r="P42" i="1"/>
  <c r="V41" i="1"/>
  <c r="W41" i="1"/>
  <c r="S41" i="1"/>
  <c r="CZ41" i="1" s="1"/>
  <c r="Y41" i="1" s="1"/>
  <c r="V39" i="1"/>
  <c r="CV38" i="1"/>
  <c r="U38" i="1" s="1"/>
  <c r="H87" i="9"/>
  <c r="W36" i="1"/>
  <c r="V36" i="1"/>
  <c r="R42" i="1"/>
  <c r="E90" i="9"/>
  <c r="GX45" i="1"/>
  <c r="T42" i="1"/>
  <c r="GX41" i="1"/>
  <c r="U41" i="1"/>
  <c r="CT38" i="1"/>
  <c r="S38" i="1" s="1"/>
  <c r="H86" i="9"/>
  <c r="T85" i="9"/>
  <c r="T82" i="9"/>
  <c r="T86" i="9"/>
  <c r="H85" i="9"/>
  <c r="H82" i="9"/>
  <c r="V27" i="1"/>
  <c r="P41" i="1"/>
  <c r="P44" i="1"/>
  <c r="T44" i="1"/>
  <c r="GX44" i="1"/>
  <c r="R44" i="1"/>
  <c r="U44" i="1"/>
  <c r="R46" i="1"/>
  <c r="U46" i="1"/>
  <c r="U42" i="1"/>
  <c r="P46" i="1"/>
  <c r="Q44" i="1"/>
  <c r="V42" i="1"/>
  <c r="W42" i="1"/>
  <c r="S42" i="1"/>
  <c r="T46" i="1"/>
  <c r="P39" i="1"/>
  <c r="Q41" i="1"/>
  <c r="R39" i="1"/>
  <c r="U39" i="1"/>
  <c r="Q39" i="1"/>
  <c r="P35" i="1"/>
  <c r="CD52" i="1"/>
  <c r="CD22" i="1" s="1"/>
  <c r="V29" i="1"/>
  <c r="T75" i="9"/>
  <c r="H75" i="9"/>
  <c r="CT32" i="1"/>
  <c r="S32" i="1" s="1"/>
  <c r="H70" i="9"/>
  <c r="H67" i="9"/>
  <c r="T71" i="9"/>
  <c r="T70" i="9"/>
  <c r="H71" i="9"/>
  <c r="T67" i="9"/>
  <c r="GX36" i="1"/>
  <c r="U36" i="1"/>
  <c r="S36" i="1"/>
  <c r="T36" i="1"/>
  <c r="H69" i="9"/>
  <c r="GM69" i="9"/>
  <c r="GX35" i="1"/>
  <c r="T73" i="9"/>
  <c r="H73" i="9"/>
  <c r="CV32" i="1"/>
  <c r="U32" i="1" s="1"/>
  <c r="H72" i="9"/>
  <c r="P33" i="1"/>
  <c r="GX33" i="1"/>
  <c r="R35" i="1"/>
  <c r="U35" i="1"/>
  <c r="Q35" i="1"/>
  <c r="T33" i="1"/>
  <c r="R33" i="1"/>
  <c r="U33" i="1"/>
  <c r="Q33" i="1"/>
  <c r="GX27" i="1"/>
  <c r="FR52" i="1"/>
  <c r="FR22" i="1" s="1"/>
  <c r="R29" i="1"/>
  <c r="U29" i="1"/>
  <c r="P27" i="1"/>
  <c r="FV52" i="1"/>
  <c r="FV22" i="1" s="1"/>
  <c r="CC52" i="1"/>
  <c r="CC22" i="1" s="1"/>
  <c r="CT26" i="1"/>
  <c r="S26" i="1" s="1"/>
  <c r="H55" i="9"/>
  <c r="H52" i="9"/>
  <c r="T56" i="9"/>
  <c r="T52" i="9"/>
  <c r="H56" i="9"/>
  <c r="T55" i="9"/>
  <c r="GX30" i="1"/>
  <c r="E60" i="9"/>
  <c r="T29" i="1"/>
  <c r="CS26" i="1"/>
  <c r="R26" i="1" s="1"/>
  <c r="GM54" i="9"/>
  <c r="H54" i="9"/>
  <c r="T58" i="9"/>
  <c r="H58" i="9"/>
  <c r="CV26" i="1"/>
  <c r="U26" i="1" s="1"/>
  <c r="H57" i="9"/>
  <c r="BY52" i="1"/>
  <c r="BY22" i="1" s="1"/>
  <c r="GX29" i="1"/>
  <c r="P29" i="1"/>
  <c r="T60" i="9"/>
  <c r="H60" i="9"/>
  <c r="AB29" i="1"/>
  <c r="AB27" i="1"/>
  <c r="FU52" i="1"/>
  <c r="EL52" i="1" s="1"/>
  <c r="BZ52" i="1"/>
  <c r="CG52" i="1" s="1"/>
  <c r="CG22" i="1" s="1"/>
  <c r="U30" i="1"/>
  <c r="FQ52" i="1"/>
  <c r="W30" i="1"/>
  <c r="V30" i="1"/>
  <c r="R30" i="1"/>
  <c r="CZ30" i="1" s="1"/>
  <c r="Y30" i="1" s="1"/>
  <c r="R27" i="1"/>
  <c r="U27" i="1"/>
  <c r="Q27" i="1"/>
  <c r="T27" i="1"/>
  <c r="AB48" i="1"/>
  <c r="AB47" i="1"/>
  <c r="CL22" i="1"/>
  <c r="BC52" i="1"/>
  <c r="AB43" i="1"/>
  <c r="EV52" i="1"/>
  <c r="CK22" i="1"/>
  <c r="BB52" i="1"/>
  <c r="CY47" i="1"/>
  <c r="X47" i="1" s="1"/>
  <c r="CZ47" i="1"/>
  <c r="Y47" i="1" s="1"/>
  <c r="EU52" i="1"/>
  <c r="ET52" i="1"/>
  <c r="CZ31" i="1"/>
  <c r="Y31" i="1" s="1"/>
  <c r="CY31" i="1"/>
  <c r="X31" i="1" s="1"/>
  <c r="CT50" i="1"/>
  <c r="S50" i="1" s="1"/>
  <c r="CQ49" i="1"/>
  <c r="P49" i="1" s="1"/>
  <c r="AD49" i="1"/>
  <c r="CR49" i="1" s="1"/>
  <c r="Q49" i="1" s="1"/>
  <c r="CR48" i="1"/>
  <c r="Q48" i="1" s="1"/>
  <c r="CU47" i="3"/>
  <c r="CX47" i="3"/>
  <c r="CR47" i="1"/>
  <c r="Q47" i="1" s="1"/>
  <c r="CP47" i="1" s="1"/>
  <c r="O47" i="1" s="1"/>
  <c r="CV45" i="3"/>
  <c r="CX45" i="3"/>
  <c r="CU45" i="3"/>
  <c r="CR46" i="1"/>
  <c r="Q46" i="1" s="1"/>
  <c r="CS45" i="1"/>
  <c r="R45" i="1" s="1"/>
  <c r="AB45" i="1"/>
  <c r="CT44" i="1"/>
  <c r="S44" i="1" s="1"/>
  <c r="CQ43" i="1"/>
  <c r="AD43" i="1"/>
  <c r="CR43" i="1" s="1"/>
  <c r="CR42" i="1"/>
  <c r="Q42" i="1" s="1"/>
  <c r="CQ40" i="1"/>
  <c r="V37" i="1"/>
  <c r="CS37" i="1"/>
  <c r="R37" i="1" s="1"/>
  <c r="CZ37" i="1" s="1"/>
  <c r="Y37" i="1" s="1"/>
  <c r="AD37" i="1"/>
  <c r="CR37" i="1" s="1"/>
  <c r="Q37" i="1" s="1"/>
  <c r="CQ36" i="1"/>
  <c r="P36" i="1" s="1"/>
  <c r="CQ32" i="1"/>
  <c r="P32" i="1" s="1"/>
  <c r="CZ25" i="1"/>
  <c r="Y25" i="1" s="1"/>
  <c r="CY25" i="1"/>
  <c r="X25" i="1" s="1"/>
  <c r="AO52" i="1"/>
  <c r="AB41" i="1"/>
  <c r="CS38" i="1"/>
  <c r="R38" i="1" s="1"/>
  <c r="AD38" i="1"/>
  <c r="AB37" i="1"/>
  <c r="CQ37" i="1"/>
  <c r="P37" i="1" s="1"/>
  <c r="CU25" i="3"/>
  <c r="CX25" i="3"/>
  <c r="CW28" i="3"/>
  <c r="CW30" i="3"/>
  <c r="CX26" i="3"/>
  <c r="CX28" i="3"/>
  <c r="CX30" i="3"/>
  <c r="CX33" i="3"/>
  <c r="AD34" i="1"/>
  <c r="CR34" i="1" s="1"/>
  <c r="CS34" i="1"/>
  <c r="AB33" i="1"/>
  <c r="BD52" i="1"/>
  <c r="I43" i="1"/>
  <c r="GX43" i="1" s="1"/>
  <c r="CQ38" i="1"/>
  <c r="P38" i="1" s="1"/>
  <c r="CW38" i="3"/>
  <c r="CX40" i="3"/>
  <c r="CX35" i="3"/>
  <c r="CU35" i="3"/>
  <c r="CW37" i="3"/>
  <c r="CX41" i="3"/>
  <c r="CX43" i="3"/>
  <c r="CX38" i="3"/>
  <c r="CW40" i="3"/>
  <c r="I40" i="1"/>
  <c r="GX37" i="1"/>
  <c r="T37" i="1"/>
  <c r="CQ34" i="1"/>
  <c r="AB34" i="1"/>
  <c r="AD40" i="1"/>
  <c r="CR40" i="1" s="1"/>
  <c r="CS40" i="1"/>
  <c r="GX39" i="1"/>
  <c r="W39" i="1"/>
  <c r="S39" i="1"/>
  <c r="AB39" i="1"/>
  <c r="CS36" i="1"/>
  <c r="R36" i="1" s="1"/>
  <c r="AD36" i="1"/>
  <c r="CR36" i="1" s="1"/>
  <c r="Q36" i="1" s="1"/>
  <c r="AB35" i="1"/>
  <c r="CS32" i="1"/>
  <c r="R32" i="1" s="1"/>
  <c r="AD32" i="1"/>
  <c r="CQ31" i="1"/>
  <c r="P31" i="1" s="1"/>
  <c r="AB30" i="1"/>
  <c r="CQ30" i="1"/>
  <c r="P30" i="1" s="1"/>
  <c r="I34" i="1"/>
  <c r="AD31" i="1"/>
  <c r="CR31" i="1" s="1"/>
  <c r="Q31" i="1" s="1"/>
  <c r="AD30" i="1"/>
  <c r="CR30" i="1" s="1"/>
  <c r="Q30" i="1" s="1"/>
  <c r="CR29" i="1"/>
  <c r="Q29" i="1" s="1"/>
  <c r="CS28" i="1"/>
  <c r="AB28" i="1"/>
  <c r="I28" i="1"/>
  <c r="CT27" i="1"/>
  <c r="S27" i="1" s="1"/>
  <c r="CQ26" i="1"/>
  <c r="P26" i="1" s="1"/>
  <c r="AD26" i="1"/>
  <c r="CQ25" i="1"/>
  <c r="P25" i="1" s="1"/>
  <c r="AD25" i="1"/>
  <c r="CR25" i="1" s="1"/>
  <c r="Q25" i="1" s="1"/>
  <c r="CX48" i="3"/>
  <c r="CV47" i="3"/>
  <c r="CX36" i="3"/>
  <c r="CX34" i="3"/>
  <c r="CX46" i="3"/>
  <c r="CX44" i="3"/>
  <c r="CX42" i="3"/>
  <c r="CX39" i="3"/>
  <c r="CW39" i="3"/>
  <c r="CX19" i="3"/>
  <c r="CU19" i="3"/>
  <c r="CW21" i="3"/>
  <c r="CX23" i="3"/>
  <c r="CV19" i="3"/>
  <c r="CX21" i="3"/>
  <c r="CX24" i="3"/>
  <c r="CU13" i="3"/>
  <c r="CX14" i="3"/>
  <c r="CX16" i="3"/>
  <c r="CX13" i="3"/>
  <c r="CW16" i="3"/>
  <c r="CX7" i="3"/>
  <c r="CX12" i="3"/>
  <c r="CU7" i="3"/>
  <c r="CW9" i="3"/>
  <c r="CX11" i="3"/>
  <c r="CV7" i="3"/>
  <c r="CX9" i="3"/>
  <c r="CU1" i="3"/>
  <c r="CX1" i="3"/>
  <c r="CW4" i="3"/>
  <c r="CX2" i="3"/>
  <c r="CX4" i="3"/>
  <c r="CX31" i="3"/>
  <c r="CW29" i="3"/>
  <c r="CX29" i="3"/>
  <c r="CW27" i="3"/>
  <c r="CX27" i="3"/>
  <c r="CV25" i="3"/>
  <c r="CX5" i="3"/>
  <c r="CW3" i="3"/>
  <c r="CX3" i="3"/>
  <c r="CV1" i="3"/>
  <c r="CW22" i="3"/>
  <c r="CX22" i="3"/>
  <c r="CX20" i="3"/>
  <c r="CX18" i="3"/>
  <c r="CX37" i="3"/>
  <c r="CV35" i="3"/>
  <c r="CX17" i="3"/>
  <c r="CW15" i="3"/>
  <c r="CX15" i="3"/>
  <c r="CV13" i="3"/>
  <c r="CX32" i="3"/>
  <c r="CW10" i="3"/>
  <c r="CX10" i="3"/>
  <c r="CX8" i="3"/>
  <c r="CX6" i="3"/>
  <c r="CY49" i="1" l="1"/>
  <c r="X49" i="1" s="1"/>
  <c r="CY33" i="1"/>
  <c r="X33" i="1" s="1"/>
  <c r="CY37" i="1"/>
  <c r="X37" i="1" s="1"/>
  <c r="CY45" i="1"/>
  <c r="X45" i="1" s="1"/>
  <c r="CP46" i="1"/>
  <c r="O46" i="1" s="1"/>
  <c r="CP45" i="1"/>
  <c r="O45" i="1" s="1"/>
  <c r="CP42" i="1"/>
  <c r="O42" i="1" s="1"/>
  <c r="CZ49" i="1"/>
  <c r="Y49" i="1" s="1"/>
  <c r="CZ48" i="1"/>
  <c r="Y48" i="1" s="1"/>
  <c r="CZ46" i="1"/>
  <c r="Y46" i="1" s="1"/>
  <c r="CP33" i="1"/>
  <c r="O33" i="1" s="1"/>
  <c r="CZ35" i="1"/>
  <c r="Y35" i="1" s="1"/>
  <c r="CY46" i="1"/>
  <c r="X46" i="1" s="1"/>
  <c r="CZ33" i="1"/>
  <c r="Y33" i="1" s="1"/>
  <c r="K54" i="9"/>
  <c r="H36" i="18"/>
  <c r="I36" i="18" s="1"/>
  <c r="H29" i="18"/>
  <c r="J29" i="18" s="1"/>
  <c r="I57" i="9"/>
  <c r="H35" i="18"/>
  <c r="J35" i="18" s="1"/>
  <c r="H28" i="18"/>
  <c r="J28" i="18" s="1"/>
  <c r="H34" i="18"/>
  <c r="I34" i="18" s="1"/>
  <c r="CY29" i="1"/>
  <c r="X29" i="1" s="1"/>
  <c r="I87" i="9"/>
  <c r="CY35" i="1"/>
  <c r="X35" i="1" s="1"/>
  <c r="I72" i="9"/>
  <c r="H31" i="18"/>
  <c r="I31" i="18" s="1"/>
  <c r="CP48" i="1"/>
  <c r="O48" i="1" s="1"/>
  <c r="I103" i="9"/>
  <c r="H37" i="18"/>
  <c r="J37" i="18" s="1"/>
  <c r="H32" i="18"/>
  <c r="J32" i="18" s="1"/>
  <c r="AU52" i="1"/>
  <c r="AU82" i="1" s="1"/>
  <c r="DR14" i="11"/>
  <c r="U101" i="9"/>
  <c r="K101" i="9" s="1"/>
  <c r="GM47" i="1"/>
  <c r="GN47" i="1" s="1"/>
  <c r="CP49" i="1"/>
  <c r="O49" i="1" s="1"/>
  <c r="I134" i="9"/>
  <c r="EY14" i="8"/>
  <c r="DR14" i="8"/>
  <c r="K158" i="9"/>
  <c r="R107" i="9"/>
  <c r="CP41" i="1"/>
  <c r="O41" i="1" s="1"/>
  <c r="CY41" i="1"/>
  <c r="X41" i="1" s="1"/>
  <c r="HF100" i="9"/>
  <c r="GJ100" i="9"/>
  <c r="HB100" i="9"/>
  <c r="DQ100" i="9"/>
  <c r="HN100" i="9"/>
  <c r="HX100" i="9"/>
  <c r="I100" i="9"/>
  <c r="HL100" i="9"/>
  <c r="GK100" i="9"/>
  <c r="HF102" i="9"/>
  <c r="I102" i="9"/>
  <c r="HB102" i="9"/>
  <c r="HN102" i="9"/>
  <c r="GZ102" i="9"/>
  <c r="HL102" i="9"/>
  <c r="DQ102" i="9"/>
  <c r="HL101" i="9"/>
  <c r="DQ101" i="9"/>
  <c r="HF101" i="9"/>
  <c r="I101" i="9"/>
  <c r="HB101" i="9"/>
  <c r="HN101" i="9"/>
  <c r="GY101" i="9"/>
  <c r="U100" i="9"/>
  <c r="DG100" i="9"/>
  <c r="U104" i="9"/>
  <c r="K104" i="9" s="1"/>
  <c r="DM104" i="9"/>
  <c r="J106" i="9" s="1"/>
  <c r="HB104" i="9"/>
  <c r="GP104" i="9"/>
  <c r="HN104" i="9"/>
  <c r="GJ104" i="9"/>
  <c r="GN104" i="9"/>
  <c r="HL104" i="9"/>
  <c r="GS104" i="9"/>
  <c r="DK104" i="9"/>
  <c r="H106" i="9" s="1"/>
  <c r="HF104" i="9"/>
  <c r="GQ104" i="9"/>
  <c r="I104" i="9"/>
  <c r="R40" i="1"/>
  <c r="CY42" i="1"/>
  <c r="X42" i="1" s="1"/>
  <c r="HB85" i="9"/>
  <c r="HL85" i="9"/>
  <c r="DQ85" i="9"/>
  <c r="I85" i="9"/>
  <c r="HN85" i="9"/>
  <c r="GY85" i="9"/>
  <c r="HF85" i="9"/>
  <c r="HB94" i="9"/>
  <c r="GP94" i="9"/>
  <c r="HN94" i="9"/>
  <c r="GJ94" i="9"/>
  <c r="GN94" i="9"/>
  <c r="HF94" i="9"/>
  <c r="GQ94" i="9"/>
  <c r="HL94" i="9"/>
  <c r="GS94" i="9"/>
  <c r="DK94" i="9"/>
  <c r="I94" i="9"/>
  <c r="HL88" i="9"/>
  <c r="GS88" i="9"/>
  <c r="DK88" i="9"/>
  <c r="GJ88" i="9"/>
  <c r="HF88" i="9"/>
  <c r="GQ88" i="9"/>
  <c r="I88" i="9"/>
  <c r="HB88" i="9"/>
  <c r="GP88" i="9"/>
  <c r="HN88" i="9"/>
  <c r="GN88" i="9"/>
  <c r="S40" i="1"/>
  <c r="E88" i="9"/>
  <c r="CZ29" i="1"/>
  <c r="Y29" i="1" s="1"/>
  <c r="U94" i="9"/>
  <c r="K94" i="9" s="1"/>
  <c r="DM94" i="9"/>
  <c r="DM92" i="9"/>
  <c r="U92" i="9"/>
  <c r="K92" i="9" s="1"/>
  <c r="DM90" i="9"/>
  <c r="U90" i="9"/>
  <c r="K90" i="9" s="1"/>
  <c r="HL90" i="9"/>
  <c r="GS90" i="9"/>
  <c r="DK90" i="9"/>
  <c r="HF90" i="9"/>
  <c r="GQ90" i="9"/>
  <c r="I90" i="9"/>
  <c r="HB90" i="9"/>
  <c r="GP90" i="9"/>
  <c r="HN90" i="9"/>
  <c r="GJ90" i="9"/>
  <c r="GN90" i="9"/>
  <c r="CZ38" i="1"/>
  <c r="Y38" i="1" s="1"/>
  <c r="K84" i="9"/>
  <c r="CZ42" i="1"/>
  <c r="Y42" i="1" s="1"/>
  <c r="HN86" i="9"/>
  <c r="GZ86" i="9"/>
  <c r="I86" i="9"/>
  <c r="HL86" i="9"/>
  <c r="DQ86" i="9"/>
  <c r="HF86" i="9"/>
  <c r="HB86" i="9"/>
  <c r="DG82" i="9"/>
  <c r="U82" i="9"/>
  <c r="I84" i="9"/>
  <c r="HX84" i="9"/>
  <c r="V40" i="1"/>
  <c r="CP35" i="1"/>
  <c r="O35" i="1" s="1"/>
  <c r="HL82" i="9"/>
  <c r="GK82" i="9"/>
  <c r="DQ82" i="9"/>
  <c r="HX82" i="9"/>
  <c r="HF82" i="9"/>
  <c r="GJ82" i="9"/>
  <c r="HB82" i="9"/>
  <c r="HN82" i="9"/>
  <c r="I82" i="9"/>
  <c r="T92" i="9"/>
  <c r="FY52" i="1"/>
  <c r="FY22" i="1" s="1"/>
  <c r="GA52" i="1"/>
  <c r="GA22" i="1" s="1"/>
  <c r="CR38" i="1"/>
  <c r="Q38" i="1" s="1"/>
  <c r="T83" i="9"/>
  <c r="H83" i="9"/>
  <c r="AB38" i="1"/>
  <c r="V43" i="1"/>
  <c r="AI52" i="1" s="1"/>
  <c r="AI22" i="1" s="1"/>
  <c r="CZ45" i="1"/>
  <c r="Y45" i="1" s="1"/>
  <c r="T40" i="1"/>
  <c r="Q40" i="1"/>
  <c r="CP37" i="1"/>
  <c r="O37" i="1" s="1"/>
  <c r="GM37" i="1" s="1"/>
  <c r="GN37" i="1" s="1"/>
  <c r="T43" i="1"/>
  <c r="AG52" i="1" s="1"/>
  <c r="AG22" i="1" s="1"/>
  <c r="R43" i="1"/>
  <c r="AE52" i="1" s="1"/>
  <c r="W43" i="1"/>
  <c r="AJ52" i="1" s="1"/>
  <c r="AJ22" i="1" s="1"/>
  <c r="AT52" i="1"/>
  <c r="AT22" i="1" s="1"/>
  <c r="CY30" i="1"/>
  <c r="X30" i="1" s="1"/>
  <c r="CP29" i="1"/>
  <c r="O29" i="1" s="1"/>
  <c r="CY36" i="1"/>
  <c r="X36" i="1" s="1"/>
  <c r="CJ52" i="1"/>
  <c r="CJ22" i="1" s="1"/>
  <c r="W34" i="1"/>
  <c r="E73" i="9"/>
  <c r="U75" i="9"/>
  <c r="K75" i="9" s="1"/>
  <c r="DM75" i="9"/>
  <c r="HX69" i="9"/>
  <c r="I69" i="9"/>
  <c r="HN70" i="9"/>
  <c r="GY70" i="9"/>
  <c r="HL70" i="9"/>
  <c r="DQ70" i="9"/>
  <c r="HF70" i="9"/>
  <c r="I70" i="9"/>
  <c r="HB70" i="9"/>
  <c r="U67" i="9"/>
  <c r="DG67" i="9"/>
  <c r="CY32" i="1"/>
  <c r="X32" i="1" s="1"/>
  <c r="K69" i="9"/>
  <c r="HL71" i="9"/>
  <c r="DQ71" i="9"/>
  <c r="HN71" i="9"/>
  <c r="HF71" i="9"/>
  <c r="I71" i="9"/>
  <c r="HB71" i="9"/>
  <c r="GZ71" i="9"/>
  <c r="HF73" i="9"/>
  <c r="GQ73" i="9"/>
  <c r="I73" i="9"/>
  <c r="GN73" i="9"/>
  <c r="GS73" i="9"/>
  <c r="HB73" i="9"/>
  <c r="GP73" i="9"/>
  <c r="GJ73" i="9"/>
  <c r="DK73" i="9"/>
  <c r="HN73" i="9"/>
  <c r="HL73" i="9"/>
  <c r="HF67" i="9"/>
  <c r="GJ67" i="9"/>
  <c r="HN67" i="9"/>
  <c r="HL67" i="9"/>
  <c r="GK67" i="9"/>
  <c r="HB67" i="9"/>
  <c r="DQ67" i="9"/>
  <c r="HX67" i="9"/>
  <c r="I67" i="9"/>
  <c r="HB75" i="9"/>
  <c r="GP75" i="9"/>
  <c r="HF75" i="9"/>
  <c r="I75" i="9"/>
  <c r="HN75" i="9"/>
  <c r="GJ75" i="9"/>
  <c r="GN75" i="9"/>
  <c r="HL75" i="9"/>
  <c r="GS75" i="9"/>
  <c r="DK75" i="9"/>
  <c r="GQ75" i="9"/>
  <c r="CR32" i="1"/>
  <c r="Q32" i="1" s="1"/>
  <c r="T68" i="9"/>
  <c r="R78" i="9" s="1"/>
  <c r="H68" i="9"/>
  <c r="AB32" i="1"/>
  <c r="CY26" i="1"/>
  <c r="X26" i="1" s="1"/>
  <c r="CZ26" i="1"/>
  <c r="Y26" i="1" s="1"/>
  <c r="EM52" i="1"/>
  <c r="AQ52" i="1"/>
  <c r="AQ82" i="1" s="1"/>
  <c r="CI52" i="1"/>
  <c r="AZ52" i="1" s="1"/>
  <c r="EI52" i="1"/>
  <c r="BZ22" i="1"/>
  <c r="AP52" i="1"/>
  <c r="AP82" i="1" s="1"/>
  <c r="HX54" i="9"/>
  <c r="I54" i="9"/>
  <c r="HL56" i="9"/>
  <c r="DQ56" i="9"/>
  <c r="HF56" i="9"/>
  <c r="I56" i="9"/>
  <c r="HN56" i="9"/>
  <c r="GZ56" i="9"/>
  <c r="HB56" i="9"/>
  <c r="GX28" i="1"/>
  <c r="E58" i="9"/>
  <c r="HN55" i="9"/>
  <c r="GY55" i="9"/>
  <c r="HL55" i="9"/>
  <c r="DQ55" i="9"/>
  <c r="HF55" i="9"/>
  <c r="I55" i="9"/>
  <c r="HB55" i="9"/>
  <c r="U60" i="9"/>
  <c r="K60" i="9" s="1"/>
  <c r="DM60" i="9"/>
  <c r="HF58" i="9"/>
  <c r="GQ58" i="9"/>
  <c r="I58" i="9"/>
  <c r="HB58" i="9"/>
  <c r="GP58" i="9"/>
  <c r="HN58" i="9"/>
  <c r="GJ58" i="9"/>
  <c r="GN58" i="9"/>
  <c r="HL58" i="9"/>
  <c r="DK58" i="9"/>
  <c r="GS58" i="9"/>
  <c r="HB60" i="9"/>
  <c r="GP60" i="9"/>
  <c r="HN60" i="9"/>
  <c r="GJ60" i="9"/>
  <c r="GN60" i="9"/>
  <c r="HL60" i="9"/>
  <c r="GS60" i="9"/>
  <c r="DK60" i="9"/>
  <c r="HF60" i="9"/>
  <c r="GQ60" i="9"/>
  <c r="I60" i="9"/>
  <c r="HF52" i="9"/>
  <c r="GJ52" i="9"/>
  <c r="HB52" i="9"/>
  <c r="DQ52" i="9"/>
  <c r="HX52" i="9"/>
  <c r="I52" i="9"/>
  <c r="HL52" i="9"/>
  <c r="HN52" i="9"/>
  <c r="GK52" i="9"/>
  <c r="U52" i="9"/>
  <c r="DG52" i="9"/>
  <c r="CR26" i="1"/>
  <c r="Q26" i="1" s="1"/>
  <c r="T53" i="9"/>
  <c r="R63" i="9" s="1"/>
  <c r="H53" i="9"/>
  <c r="FU22" i="1"/>
  <c r="FQ22" i="1"/>
  <c r="U28" i="1"/>
  <c r="Q28" i="1"/>
  <c r="R28" i="1"/>
  <c r="P28" i="1"/>
  <c r="T28" i="1"/>
  <c r="EH52" i="1"/>
  <c r="AX52" i="1"/>
  <c r="AX82" i="1" s="1"/>
  <c r="DG20" i="3"/>
  <c r="DF20" i="3"/>
  <c r="DF48" i="3"/>
  <c r="DJ48" i="3" s="1"/>
  <c r="DG48" i="3"/>
  <c r="DG35" i="3"/>
  <c r="DF35" i="3"/>
  <c r="CY50" i="1"/>
  <c r="X50" i="1" s="1"/>
  <c r="CZ50" i="1"/>
  <c r="Y50" i="1" s="1"/>
  <c r="DG10" i="3"/>
  <c r="DF10" i="3"/>
  <c r="DG15" i="3"/>
  <c r="DF15" i="3"/>
  <c r="DF37" i="3"/>
  <c r="DG37" i="3"/>
  <c r="DF5" i="3"/>
  <c r="DG5" i="3"/>
  <c r="DG29" i="3"/>
  <c r="DF29" i="3"/>
  <c r="DF2" i="3"/>
  <c r="DG2" i="3"/>
  <c r="DF9" i="3"/>
  <c r="DG9" i="3"/>
  <c r="DF13" i="3"/>
  <c r="DG13" i="3"/>
  <c r="DF24" i="3"/>
  <c r="DG24" i="3"/>
  <c r="DG39" i="3"/>
  <c r="DF39" i="3"/>
  <c r="DF34" i="3"/>
  <c r="DJ34" i="3" s="1"/>
  <c r="DG34" i="3"/>
  <c r="CY27" i="1"/>
  <c r="X27" i="1" s="1"/>
  <c r="CZ27" i="1"/>
  <c r="Y27" i="1" s="1"/>
  <c r="AB25" i="1"/>
  <c r="S28" i="1"/>
  <c r="AB31" i="1"/>
  <c r="U40" i="1"/>
  <c r="GX40" i="1"/>
  <c r="DG41" i="3"/>
  <c r="DF41" i="3"/>
  <c r="DJ41" i="3" s="1"/>
  <c r="DF40" i="3"/>
  <c r="DG40" i="3"/>
  <c r="V28" i="1"/>
  <c r="Q34" i="1"/>
  <c r="DF28" i="3"/>
  <c r="DG28" i="3"/>
  <c r="DF25" i="3"/>
  <c r="DG25" i="3"/>
  <c r="CP27" i="1"/>
  <c r="O27" i="1" s="1"/>
  <c r="AB36" i="1"/>
  <c r="AB40" i="1"/>
  <c r="Q43" i="1"/>
  <c r="AD52" i="1" s="1"/>
  <c r="CP50" i="1"/>
  <c r="O50" i="1" s="1"/>
  <c r="W40" i="1"/>
  <c r="CZ32" i="1"/>
  <c r="Y32" i="1" s="1"/>
  <c r="CZ36" i="1"/>
  <c r="Y36" i="1" s="1"/>
  <c r="CY38" i="1"/>
  <c r="X38" i="1" s="1"/>
  <c r="S43" i="1"/>
  <c r="AF52" i="1" s="1"/>
  <c r="U43" i="1"/>
  <c r="AH52" i="1" s="1"/>
  <c r="BC22" i="1"/>
  <c r="F68" i="1"/>
  <c r="BC82" i="1"/>
  <c r="EL22" i="1"/>
  <c r="P70" i="1"/>
  <c r="U16" i="2" s="1"/>
  <c r="U18" i="2" s="1"/>
  <c r="EL82" i="1"/>
  <c r="DG3" i="3"/>
  <c r="DF3" i="3"/>
  <c r="DF11" i="3"/>
  <c r="DG11" i="3"/>
  <c r="DF38" i="3"/>
  <c r="DG38" i="3"/>
  <c r="DG8" i="3"/>
  <c r="DF8" i="3"/>
  <c r="DG22" i="3"/>
  <c r="DF22" i="3"/>
  <c r="DF23" i="3"/>
  <c r="DG23" i="3"/>
  <c r="GX34" i="1"/>
  <c r="U34" i="1"/>
  <c r="CP31" i="1"/>
  <c r="O31" i="1" s="1"/>
  <c r="GM31" i="1" s="1"/>
  <c r="GN31" i="1" s="1"/>
  <c r="T34" i="1"/>
  <c r="DG43" i="3"/>
  <c r="DF43" i="3"/>
  <c r="DJ43" i="3" s="1"/>
  <c r="DF30" i="3"/>
  <c r="DG30" i="3"/>
  <c r="DG18" i="3"/>
  <c r="DF18" i="3"/>
  <c r="DF12" i="3"/>
  <c r="DG12" i="3"/>
  <c r="DF16" i="3"/>
  <c r="DG16" i="3"/>
  <c r="DF21" i="3"/>
  <c r="DG21" i="3"/>
  <c r="DF42" i="3"/>
  <c r="DJ42" i="3" s="1"/>
  <c r="DG42" i="3"/>
  <c r="DF36" i="3"/>
  <c r="DG36" i="3"/>
  <c r="CP25" i="1"/>
  <c r="O25" i="1" s="1"/>
  <c r="CP30" i="1"/>
  <c r="O30" i="1" s="1"/>
  <c r="CZ39" i="1"/>
  <c r="Y39" i="1" s="1"/>
  <c r="CY39" i="1"/>
  <c r="X39" i="1" s="1"/>
  <c r="AB26" i="1"/>
  <c r="P34" i="1"/>
  <c r="BD22" i="1"/>
  <c r="BD82" i="1"/>
  <c r="F77" i="1"/>
  <c r="W28" i="1"/>
  <c r="V34" i="1"/>
  <c r="DF26" i="3"/>
  <c r="DG26" i="3"/>
  <c r="AO22" i="1"/>
  <c r="AO82" i="1"/>
  <c r="F56" i="1"/>
  <c r="P40" i="1"/>
  <c r="P43" i="1"/>
  <c r="AC52" i="1" s="1"/>
  <c r="ET22" i="1"/>
  <c r="P65" i="1"/>
  <c r="ET82" i="1"/>
  <c r="CP39" i="1"/>
  <c r="O39" i="1" s="1"/>
  <c r="AB49" i="1"/>
  <c r="EV22" i="1"/>
  <c r="P77" i="1"/>
  <c r="EV82" i="1"/>
  <c r="DG6" i="3"/>
  <c r="DF6" i="3"/>
  <c r="DF17" i="3"/>
  <c r="DG17" i="3"/>
  <c r="DF31" i="3"/>
  <c r="DJ31" i="3" s="1"/>
  <c r="DG31" i="3"/>
  <c r="DF7" i="3"/>
  <c r="DG7" i="3"/>
  <c r="DF19" i="3"/>
  <c r="DG19" i="3"/>
  <c r="DG33" i="3"/>
  <c r="DF33" i="3"/>
  <c r="DJ33" i="3" s="1"/>
  <c r="CY44" i="1"/>
  <c r="X44" i="1" s="1"/>
  <c r="CZ44" i="1"/>
  <c r="Y44" i="1" s="1"/>
  <c r="DG47" i="3"/>
  <c r="DF47" i="3"/>
  <c r="EU22" i="1"/>
  <c r="EU82" i="1"/>
  <c r="P68" i="1"/>
  <c r="BB22" i="1"/>
  <c r="F65" i="1"/>
  <c r="BB82" i="1"/>
  <c r="DF32" i="3"/>
  <c r="DJ32" i="3" s="1"/>
  <c r="DG32" i="3"/>
  <c r="DG27" i="3"/>
  <c r="DF27" i="3"/>
  <c r="DF1" i="3"/>
  <c r="DG1" i="3"/>
  <c r="DF14" i="3"/>
  <c r="DG14" i="3"/>
  <c r="DF44" i="3"/>
  <c r="DJ44" i="3" s="1"/>
  <c r="DG44" i="3"/>
  <c r="DF4" i="3"/>
  <c r="DG4" i="3"/>
  <c r="DF46" i="3"/>
  <c r="DJ46" i="3" s="1"/>
  <c r="DG46" i="3"/>
  <c r="R34" i="1"/>
  <c r="CP36" i="1"/>
  <c r="O36" i="1" s="1"/>
  <c r="DG45" i="3"/>
  <c r="DF45" i="3"/>
  <c r="CP44" i="1"/>
  <c r="O44" i="1" s="1"/>
  <c r="S34" i="1"/>
  <c r="CP26" i="1" l="1"/>
  <c r="O26" i="1" s="1"/>
  <c r="GM26" i="1" s="1"/>
  <c r="V52" i="1"/>
  <c r="V82" i="1" s="1"/>
  <c r="CZ40" i="1"/>
  <c r="Y40" i="1" s="1"/>
  <c r="GM46" i="1"/>
  <c r="GN46" i="1" s="1"/>
  <c r="GM30" i="1"/>
  <c r="GN30" i="1" s="1"/>
  <c r="GM48" i="1"/>
  <c r="GN48" i="1" s="1"/>
  <c r="U102" i="9"/>
  <c r="K102" i="9" s="1"/>
  <c r="GM49" i="1"/>
  <c r="GN49" i="1" s="1"/>
  <c r="CY40" i="1"/>
  <c r="X40" i="1" s="1"/>
  <c r="GM45" i="1"/>
  <c r="GN45" i="1" s="1"/>
  <c r="GM33" i="1"/>
  <c r="GN33" i="1" s="1"/>
  <c r="J36" i="18"/>
  <c r="DS101" i="9"/>
  <c r="GM41" i="1"/>
  <c r="GN41" i="1" s="1"/>
  <c r="I32" i="18"/>
  <c r="GM35" i="1"/>
  <c r="GN35" i="1" s="1"/>
  <c r="EB52" i="1"/>
  <c r="EB22" i="1" s="1"/>
  <c r="I37" i="18"/>
  <c r="R97" i="9"/>
  <c r="P109" i="9" s="1"/>
  <c r="J31" i="18"/>
  <c r="I29" i="18"/>
  <c r="GM36" i="1"/>
  <c r="GN36" i="1" s="1"/>
  <c r="K125" i="9"/>
  <c r="U68" i="9"/>
  <c r="K68" i="9" s="1"/>
  <c r="J34" i="18"/>
  <c r="I35" i="18"/>
  <c r="U86" i="9"/>
  <c r="DS86" i="9" s="1"/>
  <c r="U83" i="9"/>
  <c r="K83" i="9" s="1"/>
  <c r="I28" i="18"/>
  <c r="U53" i="9"/>
  <c r="DS53" i="9" s="1"/>
  <c r="GM29" i="1"/>
  <c r="GN29" i="1" s="1"/>
  <c r="U71" i="9"/>
  <c r="K71" i="9" s="1"/>
  <c r="U56" i="9"/>
  <c r="DS56" i="9" s="1"/>
  <c r="CP38" i="1"/>
  <c r="O38" i="1" s="1"/>
  <c r="AQ22" i="1"/>
  <c r="EP52" i="1"/>
  <c r="DG14" i="11" s="1"/>
  <c r="AU22" i="1"/>
  <c r="IK2" i="1"/>
  <c r="F70" i="1"/>
  <c r="F16" i="2" s="1"/>
  <c r="F18" i="2" s="1"/>
  <c r="F71" i="1"/>
  <c r="ER52" i="1"/>
  <c r="ER22" i="1" s="1"/>
  <c r="EM22" i="1"/>
  <c r="DT14" i="11"/>
  <c r="DS14" i="11"/>
  <c r="DI14" i="11"/>
  <c r="DJ14" i="11"/>
  <c r="CP28" i="1"/>
  <c r="O28" i="1" s="1"/>
  <c r="AT82" i="1"/>
  <c r="AT18" i="1" s="1"/>
  <c r="U70" i="9"/>
  <c r="K70" i="9" s="1"/>
  <c r="U55" i="9"/>
  <c r="K55" i="9" s="1"/>
  <c r="IN14" i="8"/>
  <c r="I145" i="9"/>
  <c r="FK14" i="8"/>
  <c r="FX14" i="8"/>
  <c r="I143" i="9"/>
  <c r="I114" i="9"/>
  <c r="I125" i="9"/>
  <c r="I38" i="9"/>
  <c r="EW14" i="8"/>
  <c r="I146" i="9"/>
  <c r="IR14" i="8"/>
  <c r="FL14" i="8"/>
  <c r="P71" i="1"/>
  <c r="DT14" i="8"/>
  <c r="K160" i="9"/>
  <c r="EH22" i="1"/>
  <c r="DI14" i="8"/>
  <c r="K159" i="9"/>
  <c r="K148" i="9"/>
  <c r="DS14" i="8"/>
  <c r="K150" i="9"/>
  <c r="EI22" i="1"/>
  <c r="K151" i="9"/>
  <c r="DJ14" i="8"/>
  <c r="I99" i="9"/>
  <c r="H107" i="9"/>
  <c r="HA107" i="9"/>
  <c r="GM42" i="1"/>
  <c r="GN42" i="1" s="1"/>
  <c r="K100" i="9"/>
  <c r="DS100" i="9"/>
  <c r="W52" i="1"/>
  <c r="W82" i="1" s="1"/>
  <c r="GM50" i="1"/>
  <c r="GN50" i="1" s="1"/>
  <c r="U85" i="9"/>
  <c r="HF92" i="9"/>
  <c r="GQ92" i="9"/>
  <c r="GE14" i="8" s="1"/>
  <c r="I92" i="9"/>
  <c r="HB92" i="9"/>
  <c r="GP92" i="9"/>
  <c r="I175" i="9" s="1"/>
  <c r="HL92" i="9"/>
  <c r="DK92" i="9"/>
  <c r="H96" i="9" s="1"/>
  <c r="HN92" i="9"/>
  <c r="GJ92" i="9"/>
  <c r="GN92" i="9"/>
  <c r="I172" i="9" s="1"/>
  <c r="GS92" i="9"/>
  <c r="I139" i="9" s="1"/>
  <c r="CP40" i="1"/>
  <c r="O40" i="1" s="1"/>
  <c r="DM88" i="9"/>
  <c r="J96" i="9" s="1"/>
  <c r="U88" i="9"/>
  <c r="K88" i="9" s="1"/>
  <c r="DS82" i="9"/>
  <c r="K82" i="9"/>
  <c r="F62" i="1"/>
  <c r="P62" i="1"/>
  <c r="F61" i="1"/>
  <c r="G16" i="2" s="1"/>
  <c r="G18" i="2" s="1"/>
  <c r="AP22" i="1"/>
  <c r="HB83" i="9"/>
  <c r="I83" i="9"/>
  <c r="HN83" i="9"/>
  <c r="GL83" i="9"/>
  <c r="HL83" i="9"/>
  <c r="GJ83" i="9"/>
  <c r="HF83" i="9"/>
  <c r="DQ83" i="9"/>
  <c r="I80" i="9" s="1"/>
  <c r="GM44" i="1"/>
  <c r="GN44" i="1" s="1"/>
  <c r="H78" i="9"/>
  <c r="HA78" i="9"/>
  <c r="DW52" i="1"/>
  <c r="DW22" i="1" s="1"/>
  <c r="CP32" i="1"/>
  <c r="O32" i="1" s="1"/>
  <c r="EI82" i="1"/>
  <c r="EI18" i="1" s="1"/>
  <c r="F59" i="1"/>
  <c r="BA52" i="1"/>
  <c r="BA82" i="1" s="1"/>
  <c r="AX22" i="1"/>
  <c r="DV52" i="1"/>
  <c r="DI52" i="1" s="1"/>
  <c r="DM73" i="9"/>
  <c r="J77" i="9" s="1"/>
  <c r="U73" i="9"/>
  <c r="K73" i="9" s="1"/>
  <c r="DY52" i="1"/>
  <c r="DY22" i="1" s="1"/>
  <c r="K67" i="9"/>
  <c r="DS67" i="9"/>
  <c r="H77" i="9"/>
  <c r="HF68" i="9"/>
  <c r="DQ68" i="9"/>
  <c r="I65" i="9" s="1"/>
  <c r="HB68" i="9"/>
  <c r="I68" i="9"/>
  <c r="HN68" i="9"/>
  <c r="GL68" i="9"/>
  <c r="HL68" i="9"/>
  <c r="GJ68" i="9"/>
  <c r="CI22" i="1"/>
  <c r="EH82" i="1"/>
  <c r="P91" i="1" s="1"/>
  <c r="P61" i="1"/>
  <c r="V16" i="2" s="1"/>
  <c r="V18" i="2" s="1"/>
  <c r="CP34" i="1"/>
  <c r="O34" i="1" s="1"/>
  <c r="GB52" i="1"/>
  <c r="ES52" i="1" s="1"/>
  <c r="EM82" i="1"/>
  <c r="EM18" i="1" s="1"/>
  <c r="H63" i="9"/>
  <c r="HA63" i="9"/>
  <c r="T52" i="1"/>
  <c r="T22" i="1" s="1"/>
  <c r="DZ52" i="1"/>
  <c r="DM52" i="1" s="1"/>
  <c r="DM58" i="9"/>
  <c r="J62" i="9" s="1"/>
  <c r="U58" i="9"/>
  <c r="K58" i="9" s="1"/>
  <c r="H62" i="9"/>
  <c r="K52" i="9"/>
  <c r="DS52" i="9"/>
  <c r="HB53" i="9"/>
  <c r="I53" i="9"/>
  <c r="HN53" i="9"/>
  <c r="GL53" i="9"/>
  <c r="HF53" i="9"/>
  <c r="HL53" i="9"/>
  <c r="GJ53" i="9"/>
  <c r="DQ53" i="9"/>
  <c r="I50" i="9" s="1"/>
  <c r="AD22" i="1"/>
  <c r="Q52" i="1"/>
  <c r="AC22" i="1"/>
  <c r="P52" i="1"/>
  <c r="CE52" i="1"/>
  <c r="CF52" i="1"/>
  <c r="CH52" i="1"/>
  <c r="EV18" i="1"/>
  <c r="P107" i="1"/>
  <c r="BD18" i="1"/>
  <c r="F107" i="1"/>
  <c r="BC18" i="1"/>
  <c r="F98" i="1"/>
  <c r="CY34" i="1"/>
  <c r="X34" i="1" s="1"/>
  <c r="CZ34" i="1"/>
  <c r="Y34" i="1" s="1"/>
  <c r="AZ22" i="1"/>
  <c r="F63" i="1"/>
  <c r="AZ82" i="1"/>
  <c r="BB18" i="1"/>
  <c r="F95" i="1"/>
  <c r="AE22" i="1"/>
  <c r="R52" i="1"/>
  <c r="GM39" i="1"/>
  <c r="GN39" i="1" s="1"/>
  <c r="ET18" i="1"/>
  <c r="P95" i="1"/>
  <c r="EL18" i="1"/>
  <c r="P100" i="1"/>
  <c r="AP18" i="1"/>
  <c r="F91" i="1"/>
  <c r="EA52" i="1"/>
  <c r="AF22" i="1"/>
  <c r="S52" i="1"/>
  <c r="GM25" i="1"/>
  <c r="EP22" i="1"/>
  <c r="DU52" i="1"/>
  <c r="EU18" i="1"/>
  <c r="P98" i="1"/>
  <c r="AX18" i="1"/>
  <c r="F89" i="1"/>
  <c r="CP43" i="1"/>
  <c r="O43" i="1" s="1"/>
  <c r="AB52" i="1" s="1"/>
  <c r="AO18" i="1"/>
  <c r="F86" i="1"/>
  <c r="AH22" i="1"/>
  <c r="U52" i="1"/>
  <c r="CZ43" i="1"/>
  <c r="Y43" i="1" s="1"/>
  <c r="AL52" i="1" s="1"/>
  <c r="CY43" i="1"/>
  <c r="X43" i="1" s="1"/>
  <c r="AK52" i="1" s="1"/>
  <c r="GM27" i="1"/>
  <c r="GN27" i="1" s="1"/>
  <c r="V22" i="1"/>
  <c r="AQ18" i="1"/>
  <c r="F92" i="1"/>
  <c r="AU18" i="1"/>
  <c r="F101" i="1"/>
  <c r="CY28" i="1"/>
  <c r="X28" i="1" s="1"/>
  <c r="CZ28" i="1"/>
  <c r="Y28" i="1" s="1"/>
  <c r="DX52" i="1"/>
  <c r="II14" i="8" l="1"/>
  <c r="F75" i="1"/>
  <c r="K86" i="9"/>
  <c r="GM40" i="1"/>
  <c r="GN40" i="1" s="1"/>
  <c r="S107" i="9"/>
  <c r="J107" i="9" s="1"/>
  <c r="DO52" i="1"/>
  <c r="P76" i="1" s="1"/>
  <c r="DL52" i="1"/>
  <c r="P73" i="1" s="1"/>
  <c r="DS102" i="9"/>
  <c r="K99" i="9" s="1"/>
  <c r="K138" i="9"/>
  <c r="DS83" i="9"/>
  <c r="DS68" i="9"/>
  <c r="DS55" i="9"/>
  <c r="K50" i="9" s="1"/>
  <c r="K53" i="9"/>
  <c r="K56" i="9"/>
  <c r="DS70" i="9"/>
  <c r="DS71" i="9"/>
  <c r="HA97" i="9"/>
  <c r="I155" i="9" s="1"/>
  <c r="DK14" i="11"/>
  <c r="P63" i="1"/>
  <c r="K152" i="9"/>
  <c r="IH14" i="8"/>
  <c r="EP82" i="1"/>
  <c r="EP18" i="1" s="1"/>
  <c r="ED52" i="1"/>
  <c r="DQ52" i="1" s="1"/>
  <c r="GB22" i="1"/>
  <c r="P59" i="1"/>
  <c r="BA22" i="1"/>
  <c r="I112" i="9"/>
  <c r="H97" i="9"/>
  <c r="GM38" i="1"/>
  <c r="GN38" i="1" s="1"/>
  <c r="DG14" i="8"/>
  <c r="W22" i="1"/>
  <c r="EV14" i="8"/>
  <c r="I162" i="9"/>
  <c r="I164" i="9" s="1"/>
  <c r="I165" i="9" s="1"/>
  <c r="I167" i="9" s="1"/>
  <c r="I37" i="9" s="1"/>
  <c r="ER82" i="1"/>
  <c r="P92" i="1"/>
  <c r="T82" i="1"/>
  <c r="F103" i="1" s="1"/>
  <c r="F73" i="1"/>
  <c r="F100" i="1"/>
  <c r="F72" i="1"/>
  <c r="H16" i="2" s="1"/>
  <c r="H18" i="2" s="1"/>
  <c r="DK14" i="8"/>
  <c r="F76" i="1"/>
  <c r="CW14" i="11"/>
  <c r="ET14" i="11"/>
  <c r="DW14" i="8"/>
  <c r="DW14" i="11"/>
  <c r="DA14" i="11"/>
  <c r="FB14" i="8"/>
  <c r="I135" i="9"/>
  <c r="I137" i="9"/>
  <c r="FE14" i="8"/>
  <c r="FC14" i="8"/>
  <c r="EZ14" i="8"/>
  <c r="FN14" i="8"/>
  <c r="FR14" i="8"/>
  <c r="I157" i="9"/>
  <c r="EX14" i="8"/>
  <c r="I132" i="9"/>
  <c r="GB14" i="8"/>
  <c r="I39" i="9"/>
  <c r="CW14" i="8"/>
  <c r="ET14" i="8"/>
  <c r="H176" i="9"/>
  <c r="J39" i="9"/>
  <c r="DA14" i="8"/>
  <c r="K132" i="9"/>
  <c r="S97" i="9"/>
  <c r="J97" i="9" s="1"/>
  <c r="S78" i="9"/>
  <c r="J78" i="9" s="1"/>
  <c r="K85" i="9"/>
  <c r="DS85" i="9"/>
  <c r="EH18" i="1"/>
  <c r="DV22" i="1"/>
  <c r="DJ52" i="1"/>
  <c r="DJ22" i="1" s="1"/>
  <c r="DT52" i="1"/>
  <c r="DT22" i="1" s="1"/>
  <c r="GM32" i="1"/>
  <c r="GN32" i="1" s="1"/>
  <c r="GM34" i="1"/>
  <c r="GN34" i="1" s="1"/>
  <c r="DZ22" i="1"/>
  <c r="P101" i="1"/>
  <c r="S63" i="9"/>
  <c r="GM28" i="1"/>
  <c r="GN28" i="1" s="1"/>
  <c r="AK22" i="1"/>
  <c r="X52" i="1"/>
  <c r="DX22" i="1"/>
  <c r="DK52" i="1"/>
  <c r="DU22" i="1"/>
  <c r="DH52" i="1"/>
  <c r="FZ52" i="1"/>
  <c r="FW52" i="1"/>
  <c r="FX52" i="1"/>
  <c r="AB22" i="1"/>
  <c r="O52" i="1"/>
  <c r="W18" i="1"/>
  <c r="F106" i="1"/>
  <c r="CH22" i="1"/>
  <c r="AY52" i="1"/>
  <c r="DI22" i="1"/>
  <c r="P64" i="1"/>
  <c r="DI82" i="1"/>
  <c r="S22" i="1"/>
  <c r="S82" i="1"/>
  <c r="F67" i="1"/>
  <c r="EA22" i="1"/>
  <c r="DN52" i="1"/>
  <c r="AL22" i="1"/>
  <c r="Y52" i="1"/>
  <c r="GN25" i="1"/>
  <c r="GN26" i="1"/>
  <c r="CF22" i="1"/>
  <c r="AW52" i="1"/>
  <c r="EC52" i="1"/>
  <c r="V18" i="1"/>
  <c r="F105" i="1"/>
  <c r="U22" i="1"/>
  <c r="U82" i="1"/>
  <c r="F74" i="1"/>
  <c r="GM43" i="1"/>
  <c r="GN43" i="1" s="1"/>
  <c r="R22" i="1"/>
  <c r="R82" i="1"/>
  <c r="F66" i="1"/>
  <c r="AZ18" i="1"/>
  <c r="F93" i="1"/>
  <c r="BA18" i="1"/>
  <c r="F102" i="1"/>
  <c r="DM22" i="1"/>
  <c r="P74" i="1"/>
  <c r="DM82" i="1"/>
  <c r="CE22" i="1"/>
  <c r="AV52" i="1"/>
  <c r="Q22" i="1"/>
  <c r="Q82" i="1"/>
  <c r="F64" i="1"/>
  <c r="ES22" i="1"/>
  <c r="ES82" i="1"/>
  <c r="P72" i="1"/>
  <c r="W16" i="2" s="1"/>
  <c r="W18" i="2" s="1"/>
  <c r="P22" i="1"/>
  <c r="F55" i="1"/>
  <c r="P82" i="1"/>
  <c r="FM14" i="8" l="1"/>
  <c r="DL14" i="11"/>
  <c r="DL22" i="1"/>
  <c r="DL14" i="8"/>
  <c r="DL82" i="1"/>
  <c r="P103" i="1" s="1"/>
  <c r="K80" i="9"/>
  <c r="DM14" i="11"/>
  <c r="DO82" i="1"/>
  <c r="P106" i="1" s="1"/>
  <c r="DM14" i="8"/>
  <c r="DO22" i="1"/>
  <c r="ED22" i="1"/>
  <c r="K65" i="9"/>
  <c r="I109" i="9"/>
  <c r="T18" i="1"/>
  <c r="P89" i="1"/>
  <c r="P66" i="1"/>
  <c r="ER18" i="1"/>
  <c r="P93" i="1"/>
  <c r="CX14" i="11"/>
  <c r="EU14" i="11"/>
  <c r="DC14" i="11"/>
  <c r="DB14" i="11"/>
  <c r="CZ14" i="11"/>
  <c r="DJ82" i="1"/>
  <c r="P96" i="1" s="1"/>
  <c r="DO14" i="11"/>
  <c r="FT52" i="1"/>
  <c r="FT22" i="1" s="1"/>
  <c r="J63" i="9"/>
  <c r="Q109" i="9"/>
  <c r="EU14" i="8"/>
  <c r="H177" i="9"/>
  <c r="CX14" i="8"/>
  <c r="DC14" i="8"/>
  <c r="K172" i="9"/>
  <c r="K114" i="9"/>
  <c r="J38" i="9"/>
  <c r="CZ14" i="8"/>
  <c r="K143" i="9"/>
  <c r="K134" i="9"/>
  <c r="DB14" i="8"/>
  <c r="DO14" i="8"/>
  <c r="K146" i="9"/>
  <c r="DG52" i="1"/>
  <c r="CY14" i="11" s="1"/>
  <c r="FS52" i="1"/>
  <c r="FS22" i="1" s="1"/>
  <c r="Q18" i="1"/>
  <c r="F94" i="1"/>
  <c r="DM18" i="1"/>
  <c r="P104" i="1"/>
  <c r="R18" i="1"/>
  <c r="F96" i="1"/>
  <c r="U18" i="1"/>
  <c r="F104" i="1"/>
  <c r="EC22" i="1"/>
  <c r="DP52" i="1"/>
  <c r="AW22" i="1"/>
  <c r="AW82" i="1"/>
  <c r="F58" i="1"/>
  <c r="DQ22" i="1"/>
  <c r="P79" i="1"/>
  <c r="DQ82" i="1"/>
  <c r="J16" i="2"/>
  <c r="J18" i="2" s="1"/>
  <c r="O22" i="1"/>
  <c r="O82" i="1"/>
  <c r="F54" i="1"/>
  <c r="FZ22" i="1"/>
  <c r="EQ52" i="1"/>
  <c r="P18" i="1"/>
  <c r="F85" i="1"/>
  <c r="ES18" i="1"/>
  <c r="P102" i="1"/>
  <c r="S18" i="1"/>
  <c r="F97" i="1"/>
  <c r="DH22" i="1"/>
  <c r="P55" i="1"/>
  <c r="DH82" i="1"/>
  <c r="DK22" i="1"/>
  <c r="DK82" i="1"/>
  <c r="P67" i="1"/>
  <c r="AV22" i="1"/>
  <c r="AV82" i="1"/>
  <c r="F57" i="1"/>
  <c r="CA52" i="1"/>
  <c r="Y22" i="1"/>
  <c r="Y82" i="1"/>
  <c r="F79" i="1"/>
  <c r="DN22" i="1"/>
  <c r="P75" i="1"/>
  <c r="DN82" i="1"/>
  <c r="AY22" i="1"/>
  <c r="F60" i="1"/>
  <c r="AY82" i="1"/>
  <c r="FX22" i="1"/>
  <c r="EO52" i="1"/>
  <c r="CB52" i="1"/>
  <c r="DI18" i="1"/>
  <c r="P94" i="1"/>
  <c r="FW22" i="1"/>
  <c r="EN52" i="1"/>
  <c r="X22" i="1"/>
  <c r="F78" i="1"/>
  <c r="X82" i="1"/>
  <c r="DL18" i="1" l="1"/>
  <c r="DO18" i="1"/>
  <c r="Y16" i="2"/>
  <c r="Y18" i="2" s="1"/>
  <c r="DJ18" i="1"/>
  <c r="EK52" i="1"/>
  <c r="DU14" i="11" s="1"/>
  <c r="DH14" i="11"/>
  <c r="DN14" i="11"/>
  <c r="DE14" i="11"/>
  <c r="K112" i="9"/>
  <c r="DF14" i="11"/>
  <c r="DG22" i="1"/>
  <c r="CY14" i="8"/>
  <c r="DE14" i="8"/>
  <c r="K175" i="9"/>
  <c r="K139" i="9"/>
  <c r="DH14" i="8"/>
  <c r="K145" i="9"/>
  <c r="DN14" i="8"/>
  <c r="K137" i="9"/>
  <c r="DF14" i="8"/>
  <c r="K135" i="9"/>
  <c r="DG82" i="1"/>
  <c r="P84" i="1" s="1"/>
  <c r="P54" i="1"/>
  <c r="EJ52" i="1"/>
  <c r="CB22" i="1"/>
  <c r="AS52" i="1"/>
  <c r="DN18" i="1"/>
  <c r="P105" i="1"/>
  <c r="Y18" i="1"/>
  <c r="F109" i="1"/>
  <c r="AY18" i="1"/>
  <c r="F90" i="1"/>
  <c r="DK18" i="1"/>
  <c r="P97" i="1"/>
  <c r="O18" i="1"/>
  <c r="F84" i="1"/>
  <c r="DP22" i="1"/>
  <c r="DP82" i="1"/>
  <c r="P78" i="1"/>
  <c r="EN22" i="1"/>
  <c r="P57" i="1"/>
  <c r="EN82" i="1"/>
  <c r="CA22" i="1"/>
  <c r="AR52" i="1"/>
  <c r="IK8" i="1" s="1"/>
  <c r="AV18" i="1"/>
  <c r="F87" i="1"/>
  <c r="EQ22" i="1"/>
  <c r="EQ82" i="1"/>
  <c r="P60" i="1"/>
  <c r="X18" i="1"/>
  <c r="F108" i="1"/>
  <c r="EO22" i="1"/>
  <c r="EO82" i="1"/>
  <c r="P58" i="1"/>
  <c r="DH18" i="1"/>
  <c r="P85" i="1"/>
  <c r="DQ18" i="1"/>
  <c r="P109" i="1"/>
  <c r="AW18" i="1"/>
  <c r="F88" i="1"/>
  <c r="DU14" i="8" l="1"/>
  <c r="K162" i="9"/>
  <c r="K164" i="9" s="1"/>
  <c r="K165" i="9" s="1"/>
  <c r="K167" i="9" s="1"/>
  <c r="E26" i="9" s="1"/>
  <c r="EK82" i="1"/>
  <c r="EK18" i="1" s="1"/>
  <c r="P69" i="1"/>
  <c r="T16" i="2" s="1"/>
  <c r="X16" i="2" s="1"/>
  <c r="X18" i="2" s="1"/>
  <c r="EK22" i="1"/>
  <c r="K157" i="9"/>
  <c r="DQ14" i="8"/>
  <c r="DQ14" i="11"/>
  <c r="DG18" i="1"/>
  <c r="DP14" i="11"/>
  <c r="P80" i="1"/>
  <c r="DP14" i="8"/>
  <c r="K109" i="9"/>
  <c r="K155" i="9"/>
  <c r="EJ82" i="1"/>
  <c r="P110" i="1" s="1"/>
  <c r="EJ22" i="1"/>
  <c r="EN18" i="1"/>
  <c r="P87" i="1"/>
  <c r="DP18" i="1"/>
  <c r="P108" i="1"/>
  <c r="EO18" i="1"/>
  <c r="P88" i="1"/>
  <c r="EQ18" i="1"/>
  <c r="P90" i="1"/>
  <c r="AR22" i="1"/>
  <c r="AR82" i="1"/>
  <c r="F80" i="1"/>
  <c r="AS22" i="1"/>
  <c r="F69" i="1"/>
  <c r="E16" i="2" s="1"/>
  <c r="AS82" i="1"/>
  <c r="T18" i="2" l="1"/>
  <c r="P99" i="1"/>
  <c r="K168" i="9"/>
  <c r="K169" i="9" s="1"/>
  <c r="J37" i="9"/>
  <c r="EJ18" i="1"/>
  <c r="AS18" i="1"/>
  <c r="F99" i="1"/>
  <c r="AR18" i="1"/>
  <c r="F110" i="1"/>
  <c r="I16" i="2"/>
  <c r="I18" i="2" s="1"/>
  <c r="E18" i="2"/>
</calcChain>
</file>

<file path=xl/comments1.xml><?xml version="1.0" encoding="utf-8"?>
<comments xmlns="http://schemas.openxmlformats.org/spreadsheetml/2006/main">
  <authors>
    <author>Бобрышева Илона Викторовна</author>
  </authors>
  <commentList>
    <comment ref="C11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2.xml><?xml version="1.0" encoding="utf-8"?>
<comments xmlns="http://schemas.openxmlformats.org/spreadsheetml/2006/main">
  <authors>
    <author>Бобрышева Илона Викторовна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3.xml><?xml version="1.0" encoding="utf-8"?>
<comments xmlns="http://schemas.openxmlformats.org/spreadsheetml/2006/main">
  <authors>
    <author>Ионова Елизавета Борисовна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Привязать к стройке</t>
        </r>
      </text>
    </comment>
  </commentList>
</comments>
</file>

<file path=xl/comments4.xml><?xml version="1.0" encoding="utf-8"?>
<comments xmlns="http://schemas.openxmlformats.org/spreadsheetml/2006/main">
  <authors>
    <author>Бобрышева Илона Викторовна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Привязать к стройке</t>
        </r>
      </text>
    </comment>
  </commentList>
</comments>
</file>

<file path=xl/comments5.xml><?xml version="1.0" encoding="utf-8"?>
<comments xmlns="http://schemas.openxmlformats.org/spreadsheetml/2006/main">
  <authors>
    <author>Бобрышева Илона Викторовна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6.xml><?xml version="1.0" encoding="utf-8"?>
<comments xmlns="http://schemas.openxmlformats.org/spreadsheetml/2006/main">
  <authors>
    <author>Бобрышева Илона Викторовна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109" authorId="0" shapeId="0">
      <text>
        <r>
          <rPr>
            <sz val="9"/>
            <color indexed="81"/>
            <rFont val="Tahoma"/>
            <family val="2"/>
            <charset val="204"/>
          </rPr>
          <t>Разметка стоянок и монтаж дорожных знаков</t>
        </r>
      </text>
    </comment>
    <comment ref="I135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135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140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140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141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141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I148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K148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I153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K153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C18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18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18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18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<sst xmlns="http://schemas.openxmlformats.org/spreadsheetml/2006/main" count="4631" uniqueCount="918">
  <si>
    <t>Smeta.RU  (495) 974-1589</t>
  </si>
  <si>
    <t>_PS_</t>
  </si>
  <si>
    <t>Smeta.RU</t>
  </si>
  <si>
    <t/>
  </si>
  <si>
    <t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t>
  </si>
  <si>
    <t>Новая стройка 1</t>
  </si>
  <si>
    <t>Комплекс из 3-х многоквартирных домов по ул. Садовая 2, расположенный в д. Жилина Орловского муниципального округа, 3 этап строительства-многоквартирный дом, корпус 3 (поз.29)</t>
  </si>
  <si>
    <t>6.2.1.2.3 Разметка стоянок и  монтаж дорожных знаков, поз.1</t>
  </si>
  <si>
    <t>06-22-ОДСК-ГП изм.34</t>
  </si>
  <si>
    <t>Бобрышева И.В</t>
  </si>
  <si>
    <t>инженер-сметчик</t>
  </si>
  <si>
    <t>Кузнецова У.И.</t>
  </si>
  <si>
    <t>Главный инженер сметчик СРС ООО "ОДСК-Инжиниринг"</t>
  </si>
  <si>
    <t>Сметные нормы списания</t>
  </si>
  <si>
    <t>Коды ценников</t>
  </si>
  <si>
    <t>Версия 11.0.0.6 от 03.02.2020 г. Типовой расчет (НОВОЕ СТРОИТЕЛЬСТВО или РЕКОНСТРУКЦИЯ) © ООО НТЦ «АиВТ» г.Орел [Комплекс из 2-х многоквартирных домов на земельном участке 13 по ул.Емлютина в д.Образцово, Образцовского с/п Орловского района. 1-й эта~</t>
  </si>
  <si>
    <t>ТСНБ ТЕР-2001 Орловской области (редакция 2014 г. от 2014.10.06)</t>
  </si>
  <si>
    <t>ТСНБ ТЕР-2001 Орловской области (редакция 2014 г. от 2014.10.06) + прайс-листы ПАО "Орелстрой" 2024.11</t>
  </si>
  <si>
    <t>Поправки для базы 2001 года (ред. 2014 года) от 2021.11.17 v56 ("Орелстрой")</t>
  </si>
  <si>
    <t>6.2.1.2.3</t>
  </si>
  <si>
    <t>Разметка стоянок и монтаж дорожных знаков</t>
  </si>
  <si>
    <t>Организация дорожного движения</t>
  </si>
  <si>
    <t>1</t>
  </si>
  <si>
    <t>27-09-016-1</t>
  </si>
  <si>
    <t>Разметка проезжей части краской сплошной линией шириной 0,1 м/тип 1.1;1.23.3; 1.24.3</t>
  </si>
  <si>
    <t>1 км линии</t>
  </si>
  <si>
    <t>27-09-016-1 ТЕР-57 (ред.2014)</t>
  </si>
  <si>
    <t>Общестроительные и специальные строительные работы</t>
  </si>
  <si>
    <t>Автомобильные дороги</t>
  </si>
  <si>
    <t>ФЕР-27</t>
  </si>
  <si>
    <t>1,1</t>
  </si>
  <si>
    <t>101-1682</t>
  </si>
  <si>
    <t>Шнур полиамидный крученый, диаметром 2 мм</t>
  </si>
  <si>
    <t>т</t>
  </si>
  <si>
    <t>101-1682 ТССЦ-57 (ред.2014)</t>
  </si>
  <si>
    <t>Материалы ( строительные )</t>
  </si>
  <si>
    <t>Материалы и конструкции ( строительные ) по ценникам и каталогом</t>
  </si>
  <si>
    <t>ресурс_ФССЦ (строительные)</t>
  </si>
  <si>
    <t>[40 650 /  7,56] +  3,1% Трансп +  2% Заг.скл</t>
  </si>
  <si>
    <t>3,1</t>
  </si>
  <si>
    <t>2</t>
  </si>
  <si>
    <t>1,2</t>
  </si>
  <si>
    <t>113-0245</t>
  </si>
  <si>
    <t>Краска фасадная</t>
  </si>
  <si>
    <t>113-0245 ТССЦ-57 (ред.2014)</t>
  </si>
  <si>
    <t>[165 540 /  7,56] +  3,1% Трансп +  2% Заг.скл</t>
  </si>
  <si>
    <t>27-09-016-3</t>
  </si>
  <si>
    <t>Разметка проезжей части краской сплошной линией шириной 0,4 м/1.14.1</t>
  </si>
  <si>
    <t>27-09-016-3 ТЕР-57 (ред.2014)</t>
  </si>
  <si>
    <t>2,1</t>
  </si>
  <si>
    <t>101-1682 ТССЦ-57 (изд.2014)</t>
  </si>
  <si>
    <t>[40 650 /  7,56]</t>
  </si>
  <si>
    <t>0</t>
  </si>
  <si>
    <t>2,2</t>
  </si>
  <si>
    <t>Краска фасадная желтая</t>
  </si>
  <si>
    <t>113-0245 ТССЦ-57 (изд.2014)</t>
  </si>
  <si>
    <t>[165 540 /  7,56]</t>
  </si>
  <si>
    <t>3</t>
  </si>
  <si>
    <t>27-09-009-1</t>
  </si>
  <si>
    <t>Установка дорожных знаков на сборных железобетонных фундаментах и металлических стойках массой до 25 кг</t>
  </si>
  <si>
    <t>1 т стоек</t>
  </si>
  <si>
    <t>27-09-009-1 ТЕР-57 (ред.2014)</t>
  </si>
  <si>
    <t>101-0456</t>
  </si>
  <si>
    <t>Краски цветные, готовые к применению для внутренних работ МА-25 розово-бежевая, светло-бежевая, светло-серая</t>
  </si>
  <si>
    <t>101-0456 ТССЦ-57 (ред.2014)</t>
  </si>
  <si>
    <t>[81 220 /  7,56] +  3,1% Трансп +  2% Заг.скл</t>
  </si>
  <si>
    <t>3,2</t>
  </si>
  <si>
    <t>101-7021</t>
  </si>
  <si>
    <t>Стойки дорожные СКМ 1.3</t>
  </si>
  <si>
    <t>шт.</t>
  </si>
  <si>
    <t>101-7021 ТССЦ-57 (изд.2014)</t>
  </si>
  <si>
    <t>[1 725 /  7,56] +  3,1% Трансп +  2% Заг.скл</t>
  </si>
  <si>
    <t>3,3</t>
  </si>
  <si>
    <t>БРЛ-1.15</t>
  </si>
  <si>
    <t>Бетон тяжелый на известняковом щебне   B15 М200  (в летнее время)</t>
  </si>
  <si>
    <t>м3</t>
  </si>
  <si>
    <t>БРЛ-1.15 ПАО "Орелстрой"</t>
  </si>
  <si>
    <t>Материалы по прайсу ( строительные )</t>
  </si>
  <si>
    <t>Материал по прайсу</t>
  </si>
  <si>
    <t>ресурс_Материал по прайсу (строительные)</t>
  </si>
  <si>
    <t>[5 243,19 /  7,56] +  3,1% Трансп +  2% Заг.скл</t>
  </si>
  <si>
    <t>3,4</t>
  </si>
  <si>
    <t>101-4313</t>
  </si>
  <si>
    <t>Знаки дорожные на оцинкованной подоснове со световозвращающей пленкой информационные, размером 700x700 мм, тип 6.2, 6.3.1, 6.3.2, 6.4-6.7, 6.8.1-6.8.3(Знак дорожный 6.4 "парковка(парковочное место)" по ГОСТ Р52589-2004)</t>
  </si>
  <si>
    <t>101-4313 ТССЦ-57 (ред.2014)</t>
  </si>
  <si>
    <t>[1 075 /  7,56] +  3,1% Трансп +  2% Заг.скл</t>
  </si>
  <si>
    <t>4</t>
  </si>
  <si>
    <t>27-09-012-1</t>
  </si>
  <si>
    <t>При установке дополнительных щитков добавлять к расценкам таблиц c 27-09-008 по 27-09-011</t>
  </si>
  <si>
    <t>100 знаков</t>
  </si>
  <si>
    <t>27-09-012-1 ТЕР-57 (ред.2014)</t>
  </si>
  <si>
    <t>4,1</t>
  </si>
  <si>
    <t>101-4309</t>
  </si>
  <si>
    <t>Знаки дорожные на оцинкованной подоснове со световозвращающей пленкой дополнительной информации, размером 350х700 мм, тип 8.1.1, 8.1.3-8.12, 8.14-8.21.3(Знак дорожный 8.17 "инвалиды" по ГОСТ Р52589-2004)</t>
  </si>
  <si>
    <t>101-4309 ТССЦ-57 (ред.2014)</t>
  </si>
  <si>
    <t>[600 /  7,56] +  3,1% Трансп +  2% Заг.скл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</si>
  <si>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</si>
  <si>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</si>
  <si>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</si>
  <si>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</si>
  <si>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</si>
  <si>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</si>
  <si>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</si>
  <si>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</si>
  <si>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</si>
  <si>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</si>
  <si>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</si>
  <si>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</si>
  <si>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</si>
  <si>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</si>
  <si>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</si>
  <si>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</si>
  <si>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</si>
  <si>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</si>
  <si>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</si>
  <si>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</si>
  <si>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</si>
  <si>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</si>
  <si>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</si>
  <si>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</si>
  <si>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</si>
  <si>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</si>
  <si>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</si>
  <si>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</si>
  <si>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</si>
  <si>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</si>
  <si>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</si>
  <si>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</si>
  <si>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</si>
  <si>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</si>
  <si>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</si>
  <si>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</si>
  <si>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</si>
  <si>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</si>
  <si>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</si>
  <si>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</si>
  <si>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</si>
  <si>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</si>
  <si>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</si>
  <si>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</si>
  <si>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</si>
  <si>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</si>
  <si>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</si>
  <si>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</si>
  <si>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</si>
  <si>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</si>
  <si>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</si>
  <si>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</si>
  <si>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</si>
  <si>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</si>
  <si>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ЕСН</t>
  </si>
  <si>
    <t>{ вкл.} - Коэф. к НР=0,85 и к СП=0,8 применяются АВТОМАТИЧЕСКИ в Текущем уровне цен и не применяется в Базовом уровне цен;  { выкл.} - Коэф. к НР=0,85 и к СП=0,8 не применяются (при производстве работ по строительству мостов, тоннелей, метрополи</t>
  </si>
  <si>
    <t>© ООО НТЦ «АиВТ» г.Орел</t>
  </si>
  <si>
    <t>Коэффициенты к НР=0,85 и к СП=0,8</t>
  </si>
  <si>
    <t>УПРОЩЕНКА</t>
  </si>
  <si>
    <t>{ вкл.} - Коэффициэнты к НР и СП применяются при упрощенной системе налогооблажения  (в зависимости от выбранного уровня цен)</t>
  </si>
  <si>
    <t>Упрощенное налогообложение</t>
  </si>
  <si>
    <t>СЛОЖНОСТЬ</t>
  </si>
  <si>
    <t>{ вкл.} - Коэффициэнты к НР и СП применяются при  реконструкции объектов метро, мостов, путепроводов, сооружений относящихся к сложным, при реконструкции и капитальном ремонте объектов с ядерными реакторами</t>
  </si>
  <si>
    <t>Сложные объекты</t>
  </si>
  <si>
    <t>ХОЗ_СПОСОБ</t>
  </si>
  <si>
    <t>{ вкл.} - Коэффициэнты к НР и СП применяются при хозяйственном способе производства работ</t>
  </si>
  <si>
    <t>Хозяйственный способ производства работ</t>
  </si>
  <si>
    <t>ЗАКР_СПОСОБ</t>
  </si>
  <si>
    <t>{ вкл.} - Обслуживающие и сопутстующие работы в тоннелях при производве работ ЗАКРЫТЫМ способом (HР=145%; СП= 75%);  { выкл.} - Обслуживающие и сопутстующие работы в тоннелях при производве работ  ОТКРЫТЫМ способом (HР=125%; СП= 60%)</t>
  </si>
  <si>
    <t>Производство работ закрытым способом (Обслуживающие и сопутстующие работы в тоннелях)</t>
  </si>
  <si>
    <t>МЕЖ_ГОРОД</t>
  </si>
  <si>
    <t>{ вкл.} - Прокладка  МЕЖДУГОРОДНИХ  волоконно-оптических линий (HР=120%; СП= 70%)  { выкл.} - Прокладка  ГОРОДСКИХ  волоконно-оптических линий (HР=100%; СП= 65%)</t>
  </si>
  <si>
    <t>Прокладка междугородних волоконно-оптических линий</t>
  </si>
  <si>
    <t>АВИА</t>
  </si>
  <si>
    <t>( вкл.) - При производстве монтажных работ на объектах диспетчеризации управления движением авиатранспортом (НР=95%, СП=55%);  ( выкл.) - При производстве монтажных работ на прочих объектах, кроме АЭС.</t>
  </si>
  <si>
    <t>Производство монтажных работ на объектах диспетчеризации управления движением авиатранспортном</t>
  </si>
  <si>
    <t>АЭС</t>
  </si>
  <si>
    <t>( вкл.) - Произовдство электро-монтажных. работ (HР=110%; СП= 68%) и контроль сварных швов (HР=101%; СП= 60%) на АЭС;  ( выкл.) - Произовдство электро-монтажных. работ (HР=95%; СП= 65%) и контроль сварных швов (HР=80%; СП= 60%) на прочих объектах</t>
  </si>
  <si>
    <t>Произовдство электро-монтажных. работ и контроль сварных швов на АЭС</t>
  </si>
  <si>
    <t>НРиСПотОЗП</t>
  </si>
  <si>
    <t>{ вкл.} - НР и СП рассчитываются от ОЗП  { выкл.} - НР и СП рассчитываются от ФОТ = ОЗП + ЗПМ</t>
  </si>
  <si>
    <t>НР и СП рассчитываются от ОЗП</t>
  </si>
  <si>
    <t>К_НР_ТЕР</t>
  </si>
  <si>
    <t>Коэффициэнт к % НР для сборников ФЕР (ТЕР) (при ремонте)</t>
  </si>
  <si>
    <t>К_СП_ТЕР</t>
  </si>
  <si>
    <t>Коэффициэнт к % СП для сборников ФЕР (ТЕР) (при ремонте)</t>
  </si>
  <si>
    <t>К_НР_ТЕРр</t>
  </si>
  <si>
    <t>Коэффициэнт к % НР для сборников ФЕРр (ТЕРр) (при ремонте)</t>
  </si>
  <si>
    <t>К_СП_ТЕРр</t>
  </si>
  <si>
    <t>Коэффициэнт к % СП для сборников ФЕРр (ТЕРр) (при ремонте)</t>
  </si>
  <si>
    <t>К_НР_12</t>
  </si>
  <si>
    <t>Коэффициэнт к % НР (с 01.12.2012) (в связи с изменением ЕСН)</t>
  </si>
  <si>
    <t>К_СП_12</t>
  </si>
  <si>
    <t>Коэффициэнт к % СП (с 01.12.2012) (в связи с изменением ЕСН)</t>
  </si>
  <si>
    <t>К_НР_11</t>
  </si>
  <si>
    <t>Коэффициэнт к % НР (с 01.01.2011 по 01.12.2012) (в связи с изменением ЕСН)</t>
  </si>
  <si>
    <t>К_СП_11</t>
  </si>
  <si>
    <t>Коэффициэнт к % СП (с 01.01.2011 по 01.12.2012) (в связи с изменением ЕСН)</t>
  </si>
  <si>
    <t>К_НР_05</t>
  </si>
  <si>
    <t>Коэффициэнт к % НР (с 01.01.2005 по 01.01.2011) (в связи с изменением ЕСН)</t>
  </si>
  <si>
    <t>К_СП_05</t>
  </si>
  <si>
    <t>Коэффициэнт к % СП (с 01.01.2005 по 01.01.2011) (в связи с изменением ЕСН)</t>
  </si>
  <si>
    <t>К_НР_УПР</t>
  </si>
  <si>
    <t>Коэффициэнт к % НР (при упрощенном налогообложении)</t>
  </si>
  <si>
    <t>К_СП_УПР</t>
  </si>
  <si>
    <t>Коэффициэнт к % СП (при упрощенном налогообложении)</t>
  </si>
  <si>
    <t>К_НР_ХОЗ</t>
  </si>
  <si>
    <t>Коэффициэнт к % НР (при хозяйственном способе производства работ)</t>
  </si>
  <si>
    <t>К_СП_ХОЗ</t>
  </si>
  <si>
    <t>Коэффициэнт к % СП (при хозяйственном способе производства работ)</t>
  </si>
  <si>
    <t>К_НР_СЛЖ</t>
  </si>
  <si>
    <t>Коэффициэнт к % НР (при реконструкции сложных объектов  и  кап. ремонте объектов с яд. реакторами)</t>
  </si>
  <si>
    <t>К_СП_СЛЖ</t>
  </si>
  <si>
    <t>Коэффициэнт к % СП (при реконструкции сложных объектов  и  кап. ремонте объектов с яд. реакторами)</t>
  </si>
  <si>
    <t>К_НР_Д1</t>
  </si>
  <si>
    <t>Коэффициэнт к % НР (Пользовательский) - применяется по желанию пользователя, значение задает пользователь.</t>
  </si>
  <si>
    <t>К_СП_Д1</t>
  </si>
  <si>
    <t>Коэффициэнт к % СП (Пользовательский) - применяется по желанию пользователя, значение задает пользователь.</t>
  </si>
  <si>
    <t>К_НР_Д2</t>
  </si>
  <si>
    <t>К_СП_Д2</t>
  </si>
  <si>
    <t>ОКРУГЛЕНИЕ</t>
  </si>
  <si>
    <t>Точность округления результата расчета % НР и % СП</t>
  </si>
  <si>
    <t>Базовый уровень цен</t>
  </si>
  <si>
    <t>I квартал 2025 г.</t>
  </si>
  <si>
    <t>Сборник индексов</t>
  </si>
  <si>
    <t>ПАО "Орелстрой" (новое строительство)</t>
  </si>
  <si>
    <t>_OBSM_</t>
  </si>
  <si>
    <t>1-1018-2014-57</t>
  </si>
  <si>
    <t>Рабочий строитель среднего разряда 1,8</t>
  </si>
  <si>
    <t>чел.-ч</t>
  </si>
  <si>
    <t>Затраты труда машинистов</t>
  </si>
  <si>
    <t>чел.час</t>
  </si>
  <si>
    <t>121400</t>
  </si>
  <si>
    <t>121400 ТСЭМ-57 (ред.2014)</t>
  </si>
  <si>
    <t>Машины маркировочные</t>
  </si>
  <si>
    <t>маш.-ч</t>
  </si>
  <si>
    <t>121601</t>
  </si>
  <si>
    <t>121601 ТСЭМ-57 (ред.2014)</t>
  </si>
  <si>
    <t>Машины поливомоечные 6000 л</t>
  </si>
  <si>
    <t>1-1029-2014-57</t>
  </si>
  <si>
    <t>Рабочий строитель среднего разряда 2,9</t>
  </si>
  <si>
    <t>021141</t>
  </si>
  <si>
    <t>021141 ТСЭМ-57 (ред.2014)</t>
  </si>
  <si>
    <t>Краны на автомобильном ходу при работе на других видах строительства 10 т</t>
  </si>
  <si>
    <t>030101</t>
  </si>
  <si>
    <t>030101 ТСЭМ-57 (ред.2014)</t>
  </si>
  <si>
    <t>Автопогрузчики 5 т</t>
  </si>
  <si>
    <t>160402</t>
  </si>
  <si>
    <t>160402 ТСЭМ-57 (ред.2014)</t>
  </si>
  <si>
    <t>Машины бурильно-крановые на автомобиле, глубина бурения 3,5 м</t>
  </si>
  <si>
    <t>400001</t>
  </si>
  <si>
    <t>400001 ТСЭМ-57 (ред.2014)</t>
  </si>
  <si>
    <t>Автомобили бортовые, грузоподъемность до 5 т</t>
  </si>
  <si>
    <t>1-1030-2014-57</t>
  </si>
  <si>
    <t>Рабочий строитель среднего разряда 3</t>
  </si>
  <si>
    <t>Эмаль ПФ-133 темно-серая</t>
  </si>
  <si>
    <t>101-0388</t>
  </si>
  <si>
    <t>101-0388 ТССЦ-57 (ред.2014)</t>
  </si>
  <si>
    <t>Краски масляные земляные марки МА-0115 мумия, сурик железный</t>
  </si>
  <si>
    <t>101-0627</t>
  </si>
  <si>
    <t>101-0627 ТССЦ-57 (ред.2014)</t>
  </si>
  <si>
    <t>Олифа комбинированная, марки К-2</t>
  </si>
  <si>
    <t>101-0782</t>
  </si>
  <si>
    <t>101-0782 ТССЦ-57 (ред.2014)</t>
  </si>
  <si>
    <t>Поковки из квадратных заготовок, масса 1,8 кг</t>
  </si>
  <si>
    <t>101-2472</t>
  </si>
  <si>
    <t>101-2472 ТССЦ-57 (ред.2014)</t>
  </si>
  <si>
    <t>Растворитель марки № 646</t>
  </si>
  <si>
    <t>101-9610</t>
  </si>
  <si>
    <t>101-9610 ТССЦ-57 (ред.2014)</t>
  </si>
  <si>
    <t>Щитки металлические</t>
  </si>
  <si>
    <t>110-0243</t>
  </si>
  <si>
    <t>110-0243 ТССЦ-57 (ред.2014)</t>
  </si>
  <si>
    <t>Стойки металлические под дорожные знаки из круглых труб и гнутосварных профилей, массой до 0,01 т</t>
  </si>
  <si>
    <t>113-0021</t>
  </si>
  <si>
    <t>113-0021 ТССЦ-57 (ред.2014)</t>
  </si>
  <si>
    <t>Грунтовка ГФ-021 красно-коричневая</t>
  </si>
  <si>
    <t>401-0043</t>
  </si>
  <si>
    <t>401-0043 ТССЦ-57 (ред.2014)</t>
  </si>
  <si>
    <t>Бетон тяжелый, крупность заполнителя 40 мм, класс В7,5 (М100)</t>
  </si>
  <si>
    <t>403-9026</t>
  </si>
  <si>
    <t>403-9026 ТССЦ-57 (ред.2014)</t>
  </si>
  <si>
    <t>Фундаменты железобетонные</t>
  </si>
  <si>
    <t>408-0122</t>
  </si>
  <si>
    <t>408-0122 ТССЦ-57 (ред.2014)</t>
  </si>
  <si>
    <t>Песок природный для строительных работ средний</t>
  </si>
  <si>
    <t>101-0782 ТССЦ-57 (изд.2014)</t>
  </si>
  <si>
    <t>101-9610 ТССЦ-57 (изд.2014)</t>
  </si>
  <si>
    <t>- номер последнего сформированного листа SourceOb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</si>
  <si>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</si>
  <si>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</si>
  <si>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</si>
  <si>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</si>
  <si>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</si>
  <si>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</si>
  <si>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</si>
  <si>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</si>
  <si>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</si>
  <si>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</si>
  <si>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</si>
  <si>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(564+12+70)/1000 = 0,646</t>
  </si>
  <si>
    <t>37,5/1/1000 = 0,0375</t>
  </si>
  <si>
    <t>8,2*2/1000 = 0,0164</t>
  </si>
  <si>
    <t>- номер последнего сформированного листа</t>
  </si>
  <si>
    <t>Наименование программного продукта: "Мастер сметных расчетов" v11.11, г. Орел, тел. +7 (910) 747-08-01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</si>
  <si>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</si>
  <si>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</si>
  <si>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</si>
  <si>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</si>
  <si>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</si>
  <si>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</si>
  <si>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>Инвестор:</t>
  </si>
  <si>
    <t>по ОКПО</t>
  </si>
  <si>
    <t>Заказчик:</t>
  </si>
  <si>
    <t>Генподрядчик:</t>
  </si>
  <si>
    <t>Субподрядчик:</t>
  </si>
  <si>
    <t>Стройка:</t>
  </si>
  <si>
    <t>Объект:</t>
  </si>
  <si>
    <t>Шифр:</t>
  </si>
  <si>
    <t xml:space="preserve"> 6.2.1.2.3 Разметка стоянок и  монтаж дорожных знаков, поз.1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</si>
  <si>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</si>
  <si>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</si>
  <si>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</si>
  <si>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</si>
  <si>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</si>
  <si>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</si>
  <si>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</si>
  <si>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</si>
  <si>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</si>
  <si>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</si>
  <si>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</si>
  <si>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</si>
  <si>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 xml:space="preserve">Составлено в уровне цен : март 2024 года, Индексы пересчета: ПАО "Орелстрой" (новое строительство) </t>
  </si>
  <si>
    <t xml:space="preserve">Наименование и редакция СНБ: </t>
  </si>
  <si>
    <t xml:space="preserve">Сметная (договорная) стоимость в соответствии с договором подряда (субподряда): </t>
  </si>
  <si>
    <t>тыс.руб.</t>
  </si>
  <si>
    <t>Форма № 1б (им.Горностаева В.Е.)</t>
  </si>
  <si>
    <t xml:space="preserve"> 6.2.1.2.3 Разметка стоянок и  монтаж дорожных знаков, поз.1 </t>
  </si>
  <si>
    <t>ЛОКАЛЬНАЯ СМЕТА № 6.2.1.2.3</t>
  </si>
  <si>
    <t>Основание:</t>
  </si>
  <si>
    <t>Базисная цена</t>
  </si>
  <si>
    <t>Текущая цена</t>
  </si>
  <si>
    <t>Сметная стоимость</t>
  </si>
  <si>
    <t xml:space="preserve"> тыс.руб</t>
  </si>
  <si>
    <t>Средства на оплату труда</t>
  </si>
  <si>
    <t>Нормативная трудоемкость</t>
  </si>
  <si>
    <t xml:space="preserve"> чел.-ч</t>
  </si>
  <si>
    <t xml:space="preserve">Составлен в базисном уровне цен с пересчетом в текущий уровень цен по состоянию на: март 2024 года, Индексы пересчета: ПАО "Орелстрой" (новое строительство) 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</si>
  <si>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</si>
  <si>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</si>
  <si>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</si>
  <si>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</si>
  <si>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</si>
  <si>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>Единичная расценка,
руб.</t>
  </si>
  <si>
    <t>Поправочные коэффициэнты, нормы НР и СП</t>
  </si>
  <si>
    <t>Цена за единицу,
руб.</t>
  </si>
  <si>
    <t>ВСЕГО,
в базисном уровне цен, руб.</t>
  </si>
  <si>
    <t>Индексы пересчета,
нормы НР и СП</t>
  </si>
  <si>
    <t>ВСЕГО,
в уровне цен                март 2025 г., руб.</t>
  </si>
  <si>
    <t xml:space="preserve">Локальная смета: </t>
  </si>
  <si>
    <t xml:space="preserve"> 6.2.1.2.3</t>
  </si>
  <si>
    <t xml:space="preserve"> Разметка стоянок и монтаж дорожных знаков</t>
  </si>
  <si>
    <t xml:space="preserve">   ОЗП</t>
  </si>
  <si>
    <t xml:space="preserve">   ЭММ</t>
  </si>
  <si>
    <t xml:space="preserve">   в т.ч. ЗПМ</t>
  </si>
  <si>
    <t xml:space="preserve">   НР от ФОТ</t>
  </si>
  <si>
    <t>%</t>
  </si>
  <si>
    <t xml:space="preserve">   СП от ФОТ</t>
  </si>
  <si>
    <t xml:space="preserve">   Затраты труда рабочих</t>
  </si>
  <si>
    <t>чел-ч</t>
  </si>
  <si>
    <t>Тек. стоим. =</t>
  </si>
  <si>
    <t xml:space="preserve"> Расчет Тек.цены </t>
  </si>
  <si>
    <t xml:space="preserve">   [40 650 /  7,56] +  3,1% Трансп +  2% Заг.скл = 5654.54 * 7.56 = 42748.32</t>
  </si>
  <si>
    <t xml:space="preserve">   [165 540 /  7,56] +  3,1% Трансп +  2% Заг.скл = 23027.14 * 7.56 = 174085.18</t>
  </si>
  <si>
    <t xml:space="preserve">   Итого Ст.мат. по позиции</t>
  </si>
  <si>
    <t xml:space="preserve">   Всего по позиции</t>
  </si>
  <si>
    <t xml:space="preserve">   [40 650 /  7,56] = 5376.98 * 7.56 = 40649.97</t>
  </si>
  <si>
    <t xml:space="preserve">   [165 540 /  7,56] = 21896.83 * 7.56 = 165540.03</t>
  </si>
  <si>
    <t xml:space="preserve">   [81 220 /  7,56] +  3,1% Трансп +  2% Заг.скл = 11297.97 * 7.56 = 85412.65</t>
  </si>
  <si>
    <t xml:space="preserve">   [1 725 /  7,56] +  3,1% Трансп +  2% Заг.скл = 239.94 * 7.56 = 1813.95</t>
  </si>
  <si>
    <t xml:space="preserve">   [5 243,19 /  7,56] +  3,1% Трансп +  2% Заг.скл = 729.34 * 7.56 = 5513.81</t>
  </si>
  <si>
    <t xml:space="preserve">   [1 075 /  7,56] +  3,1% Трансп +  2% Заг.скл = 149.54 * 7.56 = 1130.52</t>
  </si>
  <si>
    <t xml:space="preserve">   [600 /  7,56] +  3,1% Трансп +  2% Заг.скл = 83.47 * 7.56 = 631.03</t>
  </si>
  <si>
    <t xml:space="preserve">Всего по локальной смете: </t>
  </si>
  <si>
    <t xml:space="preserve">Итого: </t>
  </si>
  <si>
    <t>- базовый итог на Source равен базовому итогу в сформированной смете (1), не равен (0)</t>
  </si>
  <si>
    <t>в том числе:</t>
  </si>
  <si>
    <t>Оплата труда рабочих</t>
  </si>
  <si>
    <t>в том числе (по видам работ):</t>
  </si>
  <si>
    <t>01. ОЗП - Конструкции из кирпича и блоков</t>
  </si>
  <si>
    <t>02. ОЗП - Свайные работы</t>
  </si>
  <si>
    <t>03. ОЗП - Бетонные работы</t>
  </si>
  <si>
    <t>04. ОЗП - Штукатурные работы</t>
  </si>
  <si>
    <t>05. ОЗП - Облицовочные работы</t>
  </si>
  <si>
    <t>06. ОЗП - Плотничные работы</t>
  </si>
  <si>
    <t>07. ОЗП - Кровельные работы</t>
  </si>
  <si>
    <t>08. ОЗП - Монтажные работы</t>
  </si>
  <si>
    <t>09. ОЗП - Малярные работы</t>
  </si>
  <si>
    <t>10. ОЗП - Благоустройство</t>
  </si>
  <si>
    <t>11. ОЗП - Изготовление заготовок</t>
  </si>
  <si>
    <t>12. ОЗП - Монтаж лифтов</t>
  </si>
  <si>
    <t>13. ОЗП - Тех.освидетельствование лифтов</t>
  </si>
  <si>
    <t>14. ОЗП - Пусконаладочные работы</t>
  </si>
  <si>
    <t>15. ОЗП - Остальные виды работ</t>
  </si>
  <si>
    <t>16. ОЗП - Без назначенных индексов</t>
  </si>
  <si>
    <t>Эксплуатация машин и механизмов</t>
  </si>
  <si>
    <t>Оплата труда машинистов</t>
  </si>
  <si>
    <t>Стоимость материальных ресурсов</t>
  </si>
  <si>
    <t>Стоимость материальных ресурсов без учета доп. перевозки</t>
  </si>
  <si>
    <t>Стоимость материальных ресурсов Заказчика</t>
  </si>
  <si>
    <t>Стоимость материальных ресурсов Подрядчика</t>
  </si>
  <si>
    <t>Доп. перевозка материальных ресурсов</t>
  </si>
  <si>
    <t>Перевозка (за исключением доп. перевозки)</t>
  </si>
  <si>
    <t>ФОТ (справочно)</t>
  </si>
  <si>
    <t>Накладные расходы (НР)</t>
  </si>
  <si>
    <t>Сметная прибыль (СП)</t>
  </si>
  <si>
    <t>Стоимость оборудования</t>
  </si>
  <si>
    <t>Стоимость оборудования без учета доп. перевозки</t>
  </si>
  <si>
    <t>Стоимость оборудования Заказчика</t>
  </si>
  <si>
    <t>Стоимость оборудования Подрядчика</t>
  </si>
  <si>
    <t>Доп. перевозка оборудования</t>
  </si>
  <si>
    <t xml:space="preserve">Итого с НР и СП </t>
  </si>
  <si>
    <t>в том числе (работы и затраты):</t>
  </si>
  <si>
    <t>Строительные работы</t>
  </si>
  <si>
    <t>Монтажные работы</t>
  </si>
  <si>
    <t>Оборудование</t>
  </si>
  <si>
    <t>Строительно-монтажные работы (СМР)</t>
  </si>
  <si>
    <t>Лимитированные затраты от СМР:</t>
  </si>
  <si>
    <t>Зимнее удорожание</t>
  </si>
  <si>
    <t>Итого</t>
  </si>
  <si>
    <t>НДС</t>
  </si>
  <si>
    <t>Всего с НДС</t>
  </si>
  <si>
    <t>Справочно:</t>
  </si>
  <si>
    <t>Стоимость материальных ресурсов и оборудования (всего)</t>
  </si>
  <si>
    <t>Стоимость материальных ресурсов и оборудования Заказчика</t>
  </si>
  <si>
    <t>Стоимость материальных ресурсов и оборудования Подрядчика</t>
  </si>
  <si>
    <t>Трудозатраты рабочих</t>
  </si>
  <si>
    <t>Сдал:</t>
  </si>
  <si>
    <t>[должность] / [подпись]</t>
  </si>
  <si>
    <t>[расшифровка подписи]</t>
  </si>
  <si>
    <t>М.П.</t>
  </si>
  <si>
    <t>Принял:</t>
  </si>
  <si>
    <t>Подрядчик:</t>
  </si>
  <si>
    <t>Начальник ПТС ООО "ОСУ-2"</t>
  </si>
  <si>
    <t>Когтев В.И.</t>
  </si>
  <si>
    <t>Исполнил:</t>
  </si>
  <si>
    <t>Проверил:</t>
  </si>
  <si>
    <t>Конец</t>
  </si>
  <si>
    <t>SourceOb.2</t>
  </si>
  <si>
    <t>Параметры2.xls</t>
  </si>
  <si>
    <t>- уровень цен, использованный последний раз (1 - базовый / 2 - текущий)</t>
  </si>
  <si>
    <t>РАСЧЕТ СТОИМОСТИ</t>
  </si>
  <si>
    <t>материалов</t>
  </si>
  <si>
    <t>Стройка</t>
  </si>
  <si>
    <t>№</t>
  </si>
  <si>
    <t>п/п</t>
  </si>
  <si>
    <t>Обосно-</t>
  </si>
  <si>
    <t>вание</t>
  </si>
  <si>
    <t>норматива</t>
  </si>
  <si>
    <t>Наименование</t>
  </si>
  <si>
    <t>материала</t>
  </si>
  <si>
    <t>Единица</t>
  </si>
  <si>
    <t>измере-</t>
  </si>
  <si>
    <t>ния</t>
  </si>
  <si>
    <t>Коли-</t>
  </si>
  <si>
    <t>чество</t>
  </si>
  <si>
    <t>Цена,</t>
  </si>
  <si>
    <t>руб.</t>
  </si>
  <si>
    <t>Стои-</t>
  </si>
  <si>
    <t>мость</t>
  </si>
  <si>
    <t>Расчет цены ресурса,</t>
  </si>
  <si>
    <t>наименование поставщика материала,</t>
  </si>
  <si>
    <t>наименование прайса и номер строки в прайсе</t>
  </si>
  <si>
    <t>Материалы Подрядчика</t>
  </si>
  <si>
    <t xml:space="preserve">Сметная цена в Текущем уровне (расчет)                                                                                                  ( [40 650 /  7,56] +  3,1% Трансп +  2% Заг.скл = 5654.54 * 7.56 = 42748.32 ) </t>
  </si>
  <si>
    <t>Без НДС</t>
  </si>
  <si>
    <t xml:space="preserve">Сметная цена в Текущем уровне (расчет)                                                                                                  ( [165 540 /  7,56] +  3,1% Трансп +  2% Заг.скл = 23027.14 * 7.56 = 174085.18 ) </t>
  </si>
  <si>
    <t xml:space="preserve">Сметная цена в Текущем уровне (расчет)                                                                                                  ( [40 650 /  7,56] = 5376.98 * 7.56 = 40649.97 ) </t>
  </si>
  <si>
    <t xml:space="preserve">Сметная цена в Текущем уровне (расчет)                                                                                                  ( [165 540 /  7,56] = 21896.83 * 7.56 = 165540.03 ) </t>
  </si>
  <si>
    <t xml:space="preserve">Сметная цена в Текущем уровне (расчет)                                                                                                  ( [81 220 /  7,56] +  3,1% Трансп +  2% Заг.скл = 11297.97 * 7.56 = 85412.65 ) </t>
  </si>
  <si>
    <t xml:space="preserve">Сметная цена в Текущем уровне (расчет)                                                                                                  ( [1 725 /  7,56] +  3,1% Трансп +  2% Заг.скл = 239.94 * 7.56 = 1813.95 ) </t>
  </si>
  <si>
    <t xml:space="preserve">Сметная цена в Текущем уровне (расчет)                                                                                                  ( [5 243,19 /  7,56] +  3,1% Трансп +  2% Заг.скл = 729.34 * 7.56 = 5513.81 ) </t>
  </si>
  <si>
    <t xml:space="preserve">Сметная цена в Текущем уровне (расчет)                                                                                                  ( [1 075 /  7,56] +  3,1% Трансп +  2% Заг.скл = 149.54 * 7.56 = 1130.52 ) </t>
  </si>
  <si>
    <t xml:space="preserve">Сметная цена в Текущем уровне (расчет)                                                                                                  ( [600 /  7,56] +  3,1% Трансп +  2% Заг.скл = 83.47 * 7.56 = 631.03 ) </t>
  </si>
  <si>
    <t>- стоимость материалов (последний расчет)</t>
  </si>
  <si>
    <t>РЕСУРСНЫЙ РАСЧЕТ</t>
  </si>
  <si>
    <t>ресурсов</t>
  </si>
  <si>
    <t>Трудовые ресурсы</t>
  </si>
  <si>
    <t xml:space="preserve">Сметная цена в Текущем уровне (расчет)                                                                                                  ( 7.74 * 38 = 294.12 ) </t>
  </si>
  <si>
    <t>Сметная цена = 0 (не задана)</t>
  </si>
  <si>
    <t xml:space="preserve">Сметная цена в Текущем уровне (расчет)                                                                                                  ( 8.53 * 38 = 324.14 ) </t>
  </si>
  <si>
    <t xml:space="preserve">Сметная цена в Текущем уровне (расчет)                                                                                                  ( 8.6 * 38 = 326.8 ) </t>
  </si>
  <si>
    <t>Машины</t>
  </si>
  <si>
    <t xml:space="preserve">Сметная цена в Текущем уровне (расчет)                                                                                                  ( 54.5 * 9.3 = 506.85 ) </t>
  </si>
  <si>
    <t xml:space="preserve">Сметная цена в Текущем уровне (расчет)                                                                                                  ( 109.42 * 9.3 = 1017.61 ) </t>
  </si>
  <si>
    <t xml:space="preserve">Сметная цена в Текущем уровне (расчет)                                                                                                  ( 112.67 * 9.3 = 1047.83 ) </t>
  </si>
  <si>
    <t xml:space="preserve">Сметная цена в Текущем уровне (расчет)                                                                                                  ( 88.42 * 9.3 = 822.31 ) </t>
  </si>
  <si>
    <t xml:space="preserve">Сметная цена в Текущем уровне (расчет)                                                                                                  ( 135.22 * 9.3 = 1257.55 ) </t>
  </si>
  <si>
    <t xml:space="preserve">Сметная цена в Текущем уровне (расчет)                                                                                                  ( 93.37 * 9.3 = 868.34 ) </t>
  </si>
  <si>
    <t>В том числе:</t>
  </si>
  <si>
    <t>Материальные ресурсы</t>
  </si>
  <si>
    <t>" У Т В Е Р Ж Д А Ю "</t>
  </si>
  <si>
    <t>__________________________</t>
  </si>
  <si>
    <t>"_____"_____________ _____г.</t>
  </si>
  <si>
    <t>ВЕДОМОСТЬ СПИСАНИЯ</t>
  </si>
  <si>
    <t>материалов и оборудования</t>
  </si>
  <si>
    <t>работ и ресурсов</t>
  </si>
  <si>
    <t>Объем</t>
  </si>
  <si>
    <t xml:space="preserve">работ </t>
  </si>
  <si>
    <t>Расход ресурсов</t>
  </si>
  <si>
    <t>на</t>
  </si>
  <si>
    <t>единицу</t>
  </si>
  <si>
    <t>по норме</t>
  </si>
  <si>
    <t>по факту</t>
  </si>
  <si>
    <t>Пере-</t>
  </si>
  <si>
    <t>расход</t>
  </si>
  <si>
    <t>Экономия</t>
  </si>
  <si>
    <t>Списать на</t>
  </si>
  <si>
    <t>себесто-</t>
  </si>
  <si>
    <t>имость</t>
  </si>
  <si>
    <t>Смета: Разметка стоянок и монтаж дорожных знаков</t>
  </si>
  <si>
    <t>ЛОКАЛЬНАЯ СМЕТА № 6.1.1.3.1</t>
  </si>
  <si>
    <t>Вертикальная планировка</t>
  </si>
  <si>
    <t>1000 м3 уплотненного грунта</t>
  </si>
  <si>
    <t>На каждый последующий проход по одному следу добавлять к расценке 01-02-001-01</t>
  </si>
  <si>
    <t>01-02-001-7</t>
  </si>
  <si>
    <t>Уплотнение грунта прицепными катками на пневмоколесном ходу 25 т на первый проход по одному следу при толщине слоя 25 см</t>
  </si>
  <si>
    <t>01-02-001-1</t>
  </si>
  <si>
    <t>1000 м3 грунта</t>
  </si>
  <si>
    <t>При перемещении грунта на каждые последующие 10 м добавлять к расценке 01-01-030-02</t>
  </si>
  <si>
    <t>01-01-030-10</t>
  </si>
  <si>
    <t>Разработка грунта с перемещением до 10 м бульдозерами мощностью 59 кВт (80 л.с.), группа грунтов 2 (разравнивание насыпи с формированием корыта)</t>
  </si>
  <si>
    <t>01-01-030-2</t>
  </si>
  <si>
    <t>1 Т ГРУЗА</t>
  </si>
  <si>
    <t>Перевозка грузов I класса автомобилями-самосвалами грузоподъемностью 10 т работающих вне карьера на расстояние до 1 км</t>
  </si>
  <si>
    <t>т03-21-001-1</t>
  </si>
  <si>
    <t>Разработка грунта с погрузкой на автомобили-самосвалы экскаваторами с ковшом вместимостью 1 (1-1,2) м3, группа грунтов 2</t>
  </si>
  <si>
    <t>01-01-013-2</t>
  </si>
  <si>
    <t>Устройство озеленения</t>
  </si>
  <si>
    <t>ЛОКАЛЬНАЯ СМЕТА № 6.1.2.3</t>
  </si>
  <si>
    <t>100 м2</t>
  </si>
  <si>
    <t>м2</t>
  </si>
  <si>
    <t xml:space="preserve">Раздел: </t>
  </si>
  <si>
    <t>1 т металлических изделий</t>
  </si>
  <si>
    <t>Установка металлических решеток приямков</t>
  </si>
  <si>
    <t>08-02-007-3</t>
  </si>
  <si>
    <t>10 м2</t>
  </si>
  <si>
    <t>Геотекстиль плотностью 300 г/м2</t>
  </si>
  <si>
    <t>101-0792</t>
  </si>
  <si>
    <t>1000 м2 поверхности</t>
  </si>
  <si>
    <t>27-04-016-4</t>
  </si>
  <si>
    <t>м</t>
  </si>
  <si>
    <t>101-1753</t>
  </si>
  <si>
    <t>100 М ПЛИНТУСА</t>
  </si>
  <si>
    <t>11-01-039-1</t>
  </si>
  <si>
    <t>кг</t>
  </si>
  <si>
    <t>Подготовка почвы для устройства партерного и обыкновенного газона с внесением растительной земли слоем 15 см механизированным способом</t>
  </si>
  <si>
    <t>47-01-046-3</t>
  </si>
  <si>
    <t>Разработка грунта с погрузкой на автомобили-самосвалы экскаваторами с ковшом вместимостью 0,5 (0,5-0,63) м3, группа грунтов 1/привоз растительного грунта)</t>
  </si>
  <si>
    <t>01-01-013-13</t>
  </si>
  <si>
    <t xml:space="preserve"> Озеленение</t>
  </si>
  <si>
    <t>ЛОКАЛЬНАЯ СМЕТА № 6.1.5.1.3</t>
  </si>
  <si>
    <t>Ограждение площадок</t>
  </si>
  <si>
    <t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(поз.1))</t>
  </si>
  <si>
    <t xml:space="preserve"> 6.1.5.2 Ограждение спортивной площадки </t>
  </si>
  <si>
    <t>Наименование и редакция СНБ: ТСНБ ТЕР-2001 Орловской области (редакция 2014 г. от 2014.10.06)</t>
  </si>
  <si>
    <t>МКСП-1</t>
  </si>
  <si>
    <t>М/ конструкция  ПМ 1  (ограждения спортивной площадки)  (ограждения спортивной площадки)  +МС12(4 шт на панель) к=1,01</t>
  </si>
  <si>
    <t xml:space="preserve">Сметная цена в Текущем уровне (расчет)                                                                                                  ( [129 488,16 /  7,56] +  3,1% Трансп +  2% Заг.скл = 18012.21 * 7.56 = 136172.31 ) </t>
  </si>
  <si>
    <t>МКСП-2</t>
  </si>
  <si>
    <t>М/ конструкция  ПМ 2  (ограждения спортивной площадки)  (ограждения спортивной площадки) +МС12(4 шт на панель) к=1,01</t>
  </si>
  <si>
    <t xml:space="preserve">Сметная цена в Текущем уровне (расчет)                                                                                                  ( [129 470,69 /  7,56] +  3,1% Трансп +  2% Заг.скл = 18009.78 * 7.56 = 136153.94 ) </t>
  </si>
  <si>
    <t>МКСП-3</t>
  </si>
  <si>
    <t>М/ конструкция  ПМ 3  (ограждения спортивной площадки)  (ограждения спортивной площадки)  ПМ-6+МС12(4 шт на панель) к=1,01</t>
  </si>
  <si>
    <t xml:space="preserve">Сметная цена в Текущем уровне (расчет)                                                                                                  ( [129 822,16 /  7,56] +  3,1% Трансп +  2% Заг.скл = 18058.67 * 7.56 = 136523.55 ) </t>
  </si>
  <si>
    <t>М/ конструкция  ПМ 3  (ограждения спортивной площадки)  (ограждения спортивной площадки)  ПМ-7 + лист поз.4  к=1,01</t>
  </si>
  <si>
    <t>М/ конструкция  ПМ 3  (ограждения спортивной площадки)  (ограждения спортивной площадки) +МС12(4 шт на панель) к=1,01</t>
  </si>
  <si>
    <t>МКСП-4</t>
  </si>
  <si>
    <t>М/ конструкция  ПМ 4  (ограждения спортивной площадки)  (ограждения спортивной площадки) ПМ-5+МС12(4 шт на панель) к=1,01</t>
  </si>
  <si>
    <t xml:space="preserve">Сметная цена в Текущем уровне (расчет)                                                                                                  ( [134 768,36 /  7,56] +  3,1% Трансп +  2% Заг.скл = 18746.7 * 7.56 = 141725.05 ) </t>
  </si>
  <si>
    <t>М/ конструкция  ПМ 4  (ограждения спортивной площадки)  (ограждения спортивной площадки)+МС12(4 шт на панель) к=1,01</t>
  </si>
  <si>
    <t>МКСП-5</t>
  </si>
  <si>
    <t>М/ конструкция  Стойка  (ограждения спортивной площадки)  (ограждения спортивной площадки)  поз.1+ЗГ1 с к=1,01</t>
  </si>
  <si>
    <t xml:space="preserve">Сметная цена в Текущем уровне (расчет)                                                                                                  ( [91 724,53 /  7,56] +  3,1% Трансп +  2% Заг.скл = 12759.17 * 7.56 = 96459.33 ) </t>
  </si>
  <si>
    <t>МКОН-15</t>
  </si>
  <si>
    <t>М/конструкции  стоек СТ-1 (труба, лист горячекатанный)  (общего назначения) (Ст1+ ЗГ2) с к=1,01</t>
  </si>
  <si>
    <t xml:space="preserve">Сметная цена в Текущем уровне (расчет)                                                                                                  ( [99 232 /  7,56] +  3,1% Трансп +  2% Заг.скл = 13803.49 * 7.56 = 104354.38 ) </t>
  </si>
  <si>
    <t>101-0956</t>
  </si>
  <si>
    <t>Петля накладная</t>
  </si>
  <si>
    <t xml:space="preserve">Сметная цена в Текущем уровне (расчет)                                                                                                  ( [135 /  7,56] +  3,1% Трансп +  2% Заг.скл = 18.78 * 7.56 = 141.98 ) </t>
  </si>
  <si>
    <t>МКСП-6</t>
  </si>
  <si>
    <t>Соединительный элемент МС 11  (ограждения спортивной площадки)  (ограждения спортивной площадки)</t>
  </si>
  <si>
    <t xml:space="preserve">Сметная цена в Текущем уровне (расчет)                                                                                                  ( [106 841,67 /  7,56] +  3,1% Трансп +  2% Заг.скл = 14862.02 * 7.56 = 112356.87 ) </t>
  </si>
  <si>
    <t>100 м2 окрашиваемой поверхности</t>
  </si>
  <si>
    <t>Окраска металлических огрунтованных поверхностей эмалью ПФ-115 (Стойки Ст1)</t>
  </si>
  <si>
    <t>13-03-004-26</t>
  </si>
  <si>
    <t>100 шт.</t>
  </si>
  <si>
    <t>Устройство калиток без установки столбов при металлических оградах и оградах из панелей</t>
  </si>
  <si>
    <t>07-01-055-9</t>
  </si>
  <si>
    <t>100 м ограды</t>
  </si>
  <si>
    <t>Установка металлических оград по железобетонным столбам без цоколя из сетчатых панелей высотой до 2,2 м</t>
  </si>
  <si>
    <t>07-01-054-12</t>
  </si>
  <si>
    <t>Сетка плоская тип ПКЖ из арматуры ф-4Вр-1, ф5Вр-1 ячейкой 100*200, 150*200 и др.</t>
  </si>
  <si>
    <t>АРМ-4</t>
  </si>
  <si>
    <t>1000 м2 покрытия</t>
  </si>
  <si>
    <t>Укладка металлической сетки в цементобетонное дорожное покрытие</t>
  </si>
  <si>
    <t>27-06-009-1</t>
  </si>
  <si>
    <t>На каждый 1 см изменения толщины слоя добавлять или исключать к расценке 27-06-002-17</t>
  </si>
  <si>
    <t>27-06-002-18</t>
  </si>
  <si>
    <t>27-06-002-17</t>
  </si>
  <si>
    <t>ШТ</t>
  </si>
  <si>
    <t>1 Т</t>
  </si>
  <si>
    <t>100 м3 бетона, бутобетона и железобетона в деле</t>
  </si>
  <si>
    <t>100 м3 грунта</t>
  </si>
  <si>
    <t>01-02-057-2</t>
  </si>
  <si>
    <t xml:space="preserve">Сметная цена в Текущем уровне (расчет)                                                                                                  ( [47,08 /  7,56] +  2% Заг.скл = 6.35 * 7.56 = 48.01 ) </t>
  </si>
  <si>
    <t>Геосетка  СД-30/30 с учетом доставки</t>
  </si>
  <si>
    <t>101-4131</t>
  </si>
  <si>
    <t xml:space="preserve">Сметная цена в Текущем уровне (расчет)                                                                                                  ( [118,85 /  7,56] +  2,86% Трансп +  2% Заг.скл = 16.49 * 7.56 = 124.66 ) </t>
  </si>
  <si>
    <t>Бордюр дорожный БР 100.30.15</t>
  </si>
  <si>
    <t>ПТБ-5</t>
  </si>
  <si>
    <t xml:space="preserve"> 6.2.1.1.3 Проезды и площадки поз.1 </t>
  </si>
  <si>
    <t>Разметка проезжей части краской сплошной линией шириной 0,4 м/Окраска бортового камня</t>
  </si>
  <si>
    <t>100 м бортового камня</t>
  </si>
  <si>
    <t>Установка бортовых камней бетонных при других видах покрытий</t>
  </si>
  <si>
    <t>27-02-010-2</t>
  </si>
  <si>
    <t>На каждые 0,5 см изменения толщины покрытия добавлять или исключать к расценке 27-06-020-01</t>
  </si>
  <si>
    <t>27-06-021-1</t>
  </si>
  <si>
    <t>Устройство покрытия толщиной 4 см из горячих асфальтобетонных смесей плотных мелкозернистых типа АБВ, плотность каменных материалов 2,5-2,9 т/м3/толщ. 0,05м</t>
  </si>
  <si>
    <t>27-06-020-1</t>
  </si>
  <si>
    <t>Устройство покрытия толщиной 4 см из горячих асфальтобетонных смесей пористых крупнозернистых, плотность каменных материалов 2,5-2,9 т/м3/толщ.0,07м</t>
  </si>
  <si>
    <t>27-06-020-6</t>
  </si>
  <si>
    <t>Розлив вяжущих материалов</t>
  </si>
  <si>
    <t>27-06-026-1</t>
  </si>
  <si>
    <t>1000 м2 основания</t>
  </si>
  <si>
    <t>На каждый 1 см изменения толщины слоя добавлять или исключать к расценкам 27-04-007-01, 27-04-007-02, 27-04-007-03</t>
  </si>
  <si>
    <t>27-04-007-4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</si>
  <si>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 однослойных/толщ.0,18м</t>
  </si>
  <si>
    <t>27-04-007-1</t>
  </si>
  <si>
    <t>Укладка геосетки в асфальтобетонное дорожное покрытие</t>
  </si>
  <si>
    <t>27-06-009-2</t>
  </si>
  <si>
    <t>100 м3 материала основания (в плотном теле)</t>
  </si>
  <si>
    <t>Устройство подстилающих и выравнивающих слоев оснований из песка/толщ.0,35м</t>
  </si>
  <si>
    <t>27-04-001-1</t>
  </si>
  <si>
    <t>Засыпка вручную траншей, пазух котлованов и ям, группа грунтов 2</t>
  </si>
  <si>
    <t>01-02-061-2</t>
  </si>
  <si>
    <t>ЛОКАЛЬНАЯ СМЕТА № 6.2.1.1.3</t>
  </si>
  <si>
    <t>Проезды и площадки</t>
  </si>
  <si>
    <t>Комплекс из 2-х многоквартирных домов , расположенных по адресу:  г. Орел, б-р Молодежи , участок 2а. (поз.1)</t>
  </si>
  <si>
    <t xml:space="preserve"> 6.2.1.1.4 Проезды и площадки, тротуары поз.1_(Внеплощадочное) </t>
  </si>
  <si>
    <t>ПТБ-6</t>
  </si>
  <si>
    <t>Бордюр газонный БР 100.20.8</t>
  </si>
  <si>
    <t xml:space="preserve">Сметная цена в Текущем уровне (расчет)                                                                                                  ( [144 /  7,56] +  3,42% Трансп +  2% Заг.скл = 20.09 * 7.56 = 151.88 ) </t>
  </si>
  <si>
    <t xml:space="preserve">Сметная цена в Текущем уровне (расчет)                                                                                                  ( [118,85 /  7,56] +  3,42% Трансп +  2% Заг.скл = 16.59 * 7.56 = 125.42 ) </t>
  </si>
  <si>
    <t xml:space="preserve">Сметная цена в Текущем уровне (расчет)                                                                                                  ( [468 /  7,56] +  3,42% Трансп +  2% Заг.скл = 65.3 * 7.56 = 493.67 ) </t>
  </si>
  <si>
    <t>Пластиковая бордюрная лента (h=0,15м толщиной 2 мм)</t>
  </si>
  <si>
    <t xml:space="preserve">Сметная цена в Текущем уровне (расчет)                                                                                                  ( [48,34 /  7,56] +  3,42% Трансп +  2% Заг.скл = 6.74 * 7.56 = 50.95 ) </t>
  </si>
  <si>
    <t>403-0106</t>
  </si>
  <si>
    <t>Плиты бетонные тротуарные  SteinRus,Прямоугольник Лайн, цвет серый гладкая 60мм с доставкой</t>
  </si>
  <si>
    <t xml:space="preserve">Сметная цена в Текущем уровне (расчет)                                                                                                  ( [763,35 /  7,56] +  2% Заг.скл = 102.99 * 7.56 = 778.6 ) </t>
  </si>
  <si>
    <t xml:space="preserve">Сметная цена в Текущем уровне (расчет)                                                                                                  ( [104 961,39 /  7,56] +  3,42% Трансп +  2% Заг.скл = 14645.78 * 7.56 = 110722.1 ) </t>
  </si>
  <si>
    <t>1 м реза</t>
  </si>
  <si>
    <t>Добавлять (уменьшать) на каждые 10 мм к расценке 27-07-005-05</t>
  </si>
  <si>
    <t>27-07-005-7</t>
  </si>
  <si>
    <t>Резка тротуарной плитки толщиной 70 мм угловой шлифовальной машинкой</t>
  </si>
  <si>
    <t>27-07-005-5</t>
  </si>
  <si>
    <t>Устройство покрытий из тротуарной плитки, количество плитки при укладке на 1 м2 55 шт.</t>
  </si>
  <si>
    <t>27-07-005-2</t>
  </si>
  <si>
    <t>Устройство подстилающих и выравнивающих слоев оснований из песка/цпс толщ.0,05м</t>
  </si>
  <si>
    <t>Устройство цементобетонных покрытий однослойных средствами малой механизации, толщина слоя 20 см/толщ 0,15м</t>
  </si>
  <si>
    <t xml:space="preserve"> Отмостка  Бпо*-плитка SteinRus Прямоугольник Лайн, цвет серый, гладкая 60 мм ,тип  17   S=11,7 м</t>
  </si>
  <si>
    <t>Укладка бордюрной ленты</t>
  </si>
  <si>
    <t>100 м2 дорожек и тротуаров</t>
  </si>
  <si>
    <t>На каждый 1 см изменения толщины оснований добавлять или исключать к расценке 27-07-002-01</t>
  </si>
  <si>
    <t>27-07-002-2</t>
  </si>
  <si>
    <t>Устройство оснований толщиной 12 см под тротуары из кирпичного или известнякового щебня</t>
  </si>
  <si>
    <t>27-07-002-1</t>
  </si>
  <si>
    <t>Устройство прослойки из нетканого синтетического материала (НСМ) в земляном полотне сплошной</t>
  </si>
  <si>
    <t>Засыпка вручную траншей, пазух котлованов и ям, группа грунтов 2 (формирование лестницы Л1-лист 3)</t>
  </si>
  <si>
    <t xml:space="preserve"> Покрытие гранитным отсевом тип 15 , S= 246 м2</t>
  </si>
  <si>
    <t>Устройство оснований толщиной 12 см под тротуары из кирпичного или известнякового щебня/толщ.0,13м</t>
  </si>
  <si>
    <t>Устройство подстилающих и выравнивающих слоев оснований из песка/толщ.0,1м</t>
  </si>
  <si>
    <t>Разработка грунта вручную в траншеях глубиной до 2 м без креплений с откосами, группа грунтов 2</t>
  </si>
  <si>
    <t xml:space="preserve"> Тротуар (Бп) тип 4 (Тротуарная плитка  SteinRus , Прямоугольник Лайн,цвет серый, гладкая, толщиной 60 мм) S=120,5м2</t>
  </si>
  <si>
    <t xml:space="preserve"> Проезды и площадки тип 1</t>
  </si>
  <si>
    <t>ЛОКАЛЬНАЯ СМЕТА № 6.2.1.3.3</t>
  </si>
  <si>
    <t>Проезды и площадки, тротуары (внеплощадочное)</t>
  </si>
  <si>
    <t>Разметка спортивных площадок (площадка для стритбола и универсальной)</t>
  </si>
  <si>
    <t>ЛОКАЛЬНАЯ СМЕТА № 6.2.1.2.4</t>
  </si>
  <si>
    <t>10 м2 разметки</t>
  </si>
  <si>
    <t>Нанесение линии поперечной дорожной разметки холодным пластиком со световозвращающими элементами вручную с применением трафаретной самоклеящейся ленты</t>
  </si>
  <si>
    <t>27-09-031-1</t>
  </si>
  <si>
    <t xml:space="preserve"> 6.2.2.1.3 Устройство придомовых тротуаров и площадок поз.1 </t>
  </si>
  <si>
    <t xml:space="preserve">Сметная цена в Текущем уровне (расчет)                                                                                                  ( [144 /  7,56] +  5,32% Трансп +  2% Заг.скл = 20.46 * 7.56 = 154.68 ) </t>
  </si>
  <si>
    <t>ЖБИ-49.3</t>
  </si>
  <si>
    <t>Бортовые камни    БР300.60.20 (В30 F200) (ООО ОДСК-Индустрия")</t>
  </si>
  <si>
    <t xml:space="preserve">Сметная цена в Текущем уровне (расчет)                                                                                                  ( [4 327,33 /  7,56] +  5,32% Трансп +  2% Заг.скл = 614.91 * 7.56 = 4648.72 ) </t>
  </si>
  <si>
    <t xml:space="preserve">Сметная цена в Текущем уровне (расчет)                                                                                                  ( [468 /  7,56] +  5,32% Трансп +  2% Заг.скл = 66.49 * 7.56 = 502.66 ) </t>
  </si>
  <si>
    <t>408-0102</t>
  </si>
  <si>
    <t>Гравий  мраморный белый фр.10-20</t>
  </si>
  <si>
    <t xml:space="preserve">Сметная цена в Текущем уровне (расчет)                                                                                                  ( [2 960,3 /  7,56] +  5,32% Трансп +  2% Заг.скл = 420.65 * 7.56 = 3180.11 ) </t>
  </si>
  <si>
    <t>101-4897</t>
  </si>
  <si>
    <t>Искусственная трава с фибрил. волокнами DTEX=8800 Атланта</t>
  </si>
  <si>
    <t xml:space="preserve">Сметная цена в Текущем уровне (расчет)                                                                                                  ( [415,53 /  7,56] +  5,32% Трансп +  2% Заг.скл = 59.04 * 7.56 = 446.34 ) </t>
  </si>
  <si>
    <t>Искусственная трава с фибрил. волокнами DTEX=8800 Микс</t>
  </si>
  <si>
    <t xml:space="preserve">Сметная цена в Текущем уровне (расчет)                                                                                                  ( [754,7 /  7,56] +  5,32% Трансп +  2% Заг.скл = 107.24 * 7.56 = 810.73 ) </t>
  </si>
  <si>
    <t>101-4377</t>
  </si>
  <si>
    <t>Клей</t>
  </si>
  <si>
    <t xml:space="preserve">Сметная цена в Текущем уровне (расчет)                                                                                                  ( [4 950 /  7,56] +  5,32% Трансп +  2% Заг.скл = 703.38 * 7.56 = 5317.55 ) </t>
  </si>
  <si>
    <t>101-3191</t>
  </si>
  <si>
    <t>Клей для камня "Каменьсхват" однокомпонентный</t>
  </si>
  <si>
    <t xml:space="preserve">Сметная цена в Текущем уровне (расчет)                                                                                                  ( [666,67 /  7,56] +  5,32% Трансп +  2% Заг.скл = 94.73 * 7.56 = 716.16 ) </t>
  </si>
  <si>
    <t>101-1818</t>
  </si>
  <si>
    <t>Крошка резиновая</t>
  </si>
  <si>
    <t xml:space="preserve">Сметная цена в Текущем уровне (расчет)                                                                                                  ( [33,43 /  7,56] +  2% Заг.скл = 4.51 * 7.56 = 34.1 ) </t>
  </si>
  <si>
    <t>101-5866</t>
  </si>
  <si>
    <t>Лента соединительная</t>
  </si>
  <si>
    <t xml:space="preserve">Сметная цена в Текущем уровне (расчет)                                                                                                  ( [82,5 /  7,56] +  5,32% Трансп +  2% Заг.скл = 11.72 * 7.56 = 88.6 ) </t>
  </si>
  <si>
    <t>Песок кварцевый фр. 0,5мм</t>
  </si>
  <si>
    <t xml:space="preserve">Сметная цена в Текущем уровне (расчет)                                                                                                  ( [13 537,28 /  7,56] +  2% Заг.скл = 1826.46 * 7.56 = 13808.04 ) </t>
  </si>
  <si>
    <t xml:space="preserve">Сметная цена в Текущем уровне (расчет)                                                                                                  ( [48,34 /  7,56] +  5,32% Трансп +  2% Заг.скл = 6.86 * 7.56 = 51.86 ) </t>
  </si>
  <si>
    <t>Пластиковая бордюрная лента (h=0,20м толщиной 2 мм)</t>
  </si>
  <si>
    <t xml:space="preserve">Сметная цена в Текущем уровне (расчет)                                                                                                  ( [64,21 /  7,56] +  5,32% Трансп +  2% Заг.скл = 9.12 * 7.56 = 68.95 ) </t>
  </si>
  <si>
    <t>101-4910</t>
  </si>
  <si>
    <t>Пластиковая газонная сетка</t>
  </si>
  <si>
    <t xml:space="preserve">Сметная цена в Текущем уровне (расчет)                                                                                                  ( [245,83 /  7,56] +  5,32% Трансп +  2% Заг.скл = 34.94 * 7.56 = 264.15 ) </t>
  </si>
  <si>
    <t>Плиты бетонные тротуарные  SteinRus,Инсбрук Альпен  ColorMix Актау гладкая 60мм</t>
  </si>
  <si>
    <t xml:space="preserve">Сметная цена в Текущем уровне (расчет)                                                                                                  ( [1 874 /  7,56] +  2% Заг.скл = 252.84 * 7.56 = 1911.47 ) </t>
  </si>
  <si>
    <t>Плиты бетонные тротуарные  SteinRus,Прямоугольник Лайн, цвет серый гладкая 60мм</t>
  </si>
  <si>
    <t>Плиты бетонные тротуарные SteinRus , Прямоугольник Лайн,цвет белый, гладкая ,60мм</t>
  </si>
  <si>
    <t xml:space="preserve">Сметная цена в Текущем уровне (расчет)                                                                                                  ( [1 035 /  7,56] +  2% Заг.скл = 139.64 * 7.56 = 1055.68 ) </t>
  </si>
  <si>
    <t>Плиты бетонные тротуарные SteinRus Ригель ColorMix Актау гладкая 80мм</t>
  </si>
  <si>
    <t xml:space="preserve">Сметная цена в Текущем уровне (расчет)                                                                                                  ( [1 531 /  7,56] +  2% Заг.скл = 206.56 * 7.56 = 1561.59 ) </t>
  </si>
  <si>
    <t>Полиуретановое связующее</t>
  </si>
  <si>
    <t xml:space="preserve">Сметная цена в Текущем уровне (расчет)                                                                                                  ( [285,68 /  7,56] +  2% Заг.скл = 38.55 * 7.56 = 291.44 ) </t>
  </si>
  <si>
    <t>113-3467</t>
  </si>
  <si>
    <t>Праймер</t>
  </si>
  <si>
    <t xml:space="preserve">Сметная цена в Текущем уровне (расчет)                                                                                                  ( [260,93 /  7,56] +  2% Заг.скл = 35.2 * 7.56 = 266.11 ) </t>
  </si>
  <si>
    <t xml:space="preserve">Сметная цена в Текущем уровне (расчет)                                                                                                  ( [104 961,39 /  7,56] +  3,8% Трансп +  0,75% Заг.скл = 14519.45 * 7.56 = 109767.04 ) </t>
  </si>
  <si>
    <t>101-2731</t>
  </si>
  <si>
    <t>Скипидар</t>
  </si>
  <si>
    <t xml:space="preserve">Сметная цена в Текущем уровне (расчет)                                                                                                  ( [135,93 /  7,56] +  2% Заг.скл = 18.34 * 7.56 = 138.65 ) </t>
  </si>
  <si>
    <t>Цветная ЕРДМ крошка</t>
  </si>
  <si>
    <t xml:space="preserve">Сметная цена в Текущем уровне (расчет)                                                                                                  ( [131,77 /  7,56] +  2% Заг.скл = 17.78 * 7.56 = 134.42 ) </t>
  </si>
  <si>
    <t>ЛОКАЛЬНАЯ СМЕТА № 6.2.2.1.3</t>
  </si>
  <si>
    <t>Устройство придомовых тротуаров и площадок</t>
  </si>
  <si>
    <t>Устройство цементобетонных покрытий однослойных средствами малой механизации, толщина слоя 20 см/толщ 0,20 м</t>
  </si>
  <si>
    <t>Устройство подстилающих и выравнивающих слоев оснований из песка/толщ.0,20м</t>
  </si>
  <si>
    <t xml:space="preserve"> Площадка для мусороконтейнеров Бт тип 18 S=37,3м2</t>
  </si>
  <si>
    <t xml:space="preserve"> Отмостка  Бпо*-плитка SteinRus Прямоугольник Лайн, цвет серый, гладкая 60 мм ,тип  17   S=24,25 м</t>
  </si>
  <si>
    <t xml:space="preserve"> Отмостка  Бпо-плитка SteinRus Инсбрук Альпен ColorMix Актау, гладкая 60 мм ,тип  16   S=368,5м2</t>
  </si>
  <si>
    <t>100 м2 покрытия</t>
  </si>
  <si>
    <t>На каждые 0,5 см изменения толщины покрытия добавлять к расценке 27-07-001-01</t>
  </si>
  <si>
    <t>27-07-001-2</t>
  </si>
  <si>
    <t>Устройство асфальтобетонных покрытий дорожек и тротуаров однослойных из литой мелкозернистой асфальто-бетонной смеси толщиной 3 см/толщ.0,05м</t>
  </si>
  <si>
    <t>27-07-001-1</t>
  </si>
  <si>
    <t>Устройство оснований толщиной 12 см под тротуары из кирпичного или известнякового щебня/толщ.0,1м</t>
  </si>
  <si>
    <t>Устройство подстилающих и выравнивающих слоев оснований из песка/толщ.0,15м</t>
  </si>
  <si>
    <t xml:space="preserve"> Стритбольная площадка тип 7, S= 329 м2</t>
  </si>
  <si>
    <t xml:space="preserve"> Покрытие гранитным отсевом Що тип 15 S =9,5 м2</t>
  </si>
  <si>
    <t>1 м3 выливаемой воды</t>
  </si>
  <si>
    <t>Пролив гравийного основания клеем однокомпонентным "Каменьсхват"/прим</t>
  </si>
  <si>
    <t>47-01-084-3</t>
  </si>
  <si>
    <t>Устройство оснований толщиной 12 см под тротуары из кирпичного или известнякового щебня/гравий мраморный</t>
  </si>
  <si>
    <t>Устройство подстилающих и выравнивающих слоев оснований из песка /толщ.0,1м</t>
  </si>
  <si>
    <t xml:space="preserve"> Покрытие отсев из гравия белого, тип 14 S=47 м2</t>
  </si>
  <si>
    <t>Засыпка вручную траншей, пазух котлованов и ям, группа грунтов 1</t>
  </si>
  <si>
    <t>01-02-061-1</t>
  </si>
  <si>
    <t>Укладка искусственной травы</t>
  </si>
  <si>
    <t>Устройство оснований толщиной 12 см под тротуары из кирпичного или известнякового щебня/толщ.0,14м</t>
  </si>
  <si>
    <t xml:space="preserve"> Универсальная площадка-искусственный газон Ип №14 тип 13  S=628.5 м2</t>
  </si>
  <si>
    <t>Устройство покрытий из резиновой крошки толщ.0,13 м/прим.(толщина цветного слоя 1см, остальная толщина добирается из неокрашенной крошки)</t>
  </si>
  <si>
    <t>11-01-021-3</t>
  </si>
  <si>
    <t>Устройство цементобетонных покрытий однослойных средствами малой механизации, толщина слоя 20 см/толщ 0,08м</t>
  </si>
  <si>
    <t>100 м2 поверхности</t>
  </si>
  <si>
    <t>Устройство пароизоляции из полиэтиленовой пленки в один слой насухо</t>
  </si>
  <si>
    <t>11-01-050-1</t>
  </si>
  <si>
    <t xml:space="preserve"> Спортивная   площадка;Рк№13, тип 12 S=299,5м2</t>
  </si>
  <si>
    <t>Устройство покрытий из резиновой крошки толщ.0,08 м/прим.(толщина цветного слоя 1см, остальная толщина добирается из неокрашенной крошки)</t>
  </si>
  <si>
    <t xml:space="preserve"> Детская площадка;Рк№12, тип 11 S=209,5м2</t>
  </si>
  <si>
    <t>Устройство покрытий из резиновой крошки толщ.0,05 м/прим.(толщина цветного слоя 1см, остальная толщина добирается из неокрашенной крошки)</t>
  </si>
  <si>
    <t xml:space="preserve"> Спортивная  и детская площадка;Рк№11, тип 10 S=720м2</t>
  </si>
  <si>
    <t xml:space="preserve"> Детская площадка тип 9 покрытие из песка, толщина слоя 20 см S=105м2</t>
  </si>
  <si>
    <t>Устройство оснований толщиной 12 см под тротуары из кирпичного или известнякового щебня/толщ.0,2м</t>
  </si>
  <si>
    <t>Устройство подстилающих и выравнивающих слоев оснований из песка/толщ.0,2м</t>
  </si>
  <si>
    <t xml:space="preserve"> Спортплощадка для катания на самокатах,шириной 2.0 м -Ат(пож) №9 тип 8 ,S, =57 м2</t>
  </si>
  <si>
    <t xml:space="preserve"> Спорплощадка для катания на самокатах ,шириной 2 м Ат тип 7 S=26м2</t>
  </si>
  <si>
    <t xml:space="preserve"> Тротуары, дорожки (Бп) тип 6 (Тротуарная плитка  SteinRus , Прямоугольник Лайн,цвет белый, гладкая, толщиной 60 мм) S=97,5 м2</t>
  </si>
  <si>
    <t xml:space="preserve"> Тротуары, дорожки и площадки  (Бп) тип 4 (Тротуарная плитка  SteinRus , Прямоугольник Лайн,цвет серый, гладкая, толщиной 60 мм) S=1269,5м2</t>
  </si>
  <si>
    <t>100 м2 тротуара</t>
  </si>
  <si>
    <t>Устройство бетонных плитных тротуаров с заполнением швов цементным раствором</t>
  </si>
  <si>
    <t>27-07-003-1</t>
  </si>
  <si>
    <t>Устройство оснований толщиной 12 см под тротуары из кирпичного или известнякового щебня/толщ.0,15м</t>
  </si>
  <si>
    <t>Устройство подстилающих и выравнивающих слоев оснований из песка/толщ.0,17м</t>
  </si>
  <si>
    <t xml:space="preserve"> Тротуар с укреплением для пожарной машины. пешеходная зона (шир. 0,6 и 2 м)(Бп)  тип 3 (Тротуарная плитка SteinRus Ригель ColorMix Актау гладкая толщ.80мм) S=762,5м2</t>
  </si>
  <si>
    <t xml:space="preserve"> Тротуары, дорожки и площадки  Бп тип 2 (Тротуарная плитка SteinRus,Инсбрук Альпен  ColorMix Актау гладкая, толщ.60мм)  S=260,5м2</t>
  </si>
  <si>
    <t xml:space="preserve"> 6.2.3.1  Водоотводные сооружения </t>
  </si>
  <si>
    <t>прайс</t>
  </si>
  <si>
    <t>Заглушка торцевая стальная Optima Dn 100  с доставкой</t>
  </si>
  <si>
    <t xml:space="preserve">Сметная цена в Текущем уровне (расчет)                                                                                                  ( [435,35 /  7,56] +  2% Заг.скл = 58.74 * 7.56 = 444.07 ) </t>
  </si>
  <si>
    <t>Заглушка торцевая стальная Optima Dn 200  с доставкой</t>
  </si>
  <si>
    <t xml:space="preserve">Сметная цена в Текущем уровне (расчет)                                                                                                  ( [725,81 /  7,56] +  2% Заг.скл = 97.93 * 7.56 = 740.35 ) </t>
  </si>
  <si>
    <t>Корзинка для пескоуловителя бетонного DN200  с доставкой</t>
  </si>
  <si>
    <t xml:space="preserve">Сметная цена в Текущем уровне (расчет)                                                                                                  ( [1 741,83 /  7,56] +  2% Заг.скл = 235.01 * 7.56 = 1776.68 ) </t>
  </si>
  <si>
    <t>Крепёж решетки к лотку бетонному Aquastok Optima 100 (комплект)  с доставкой</t>
  </si>
  <si>
    <t xml:space="preserve">Сметная цена в Текущем уровне (расчет)                                                                                                  ( [183,14 /  7,56] +  2% Заг.скл = 24.7 * 7.56 = 186.73 ) </t>
  </si>
  <si>
    <t>Крепёж решетки к лотку бетонному Aquastok Optima 200 (комплект)  с доставкой</t>
  </si>
  <si>
    <t>101-2420</t>
  </si>
  <si>
    <t>Лента БРИТ-А 50х5</t>
  </si>
  <si>
    <t xml:space="preserve">Сметная цена в Текущем уровне (расчет)                                                                                                  ( [50 /  7,56] +  3,54% Трансп +  2% Заг.скл = 6.98 * 7.56 = 52.77 ) </t>
  </si>
  <si>
    <t>Лоток водоотводный бетонный ЛВБ Aquastok Optima 100 №5/0  с доставкой</t>
  </si>
  <si>
    <t xml:space="preserve">Сметная цена в Текущем уровне (расчет)                                                                                                  ( [2 827,78 /  7,56] +  2% Заг.скл = 381.52 * 7.56 = 2884.29 ) </t>
  </si>
  <si>
    <t>Лоток водоотводный бетонный ЛВБ Aquastok Optima 200 №0/0  с доставкой</t>
  </si>
  <si>
    <t xml:space="preserve">Сметная цена в Текущем уровне (расчет)                                                                                                  ( [3 821,88 /  7,56] +  2% Заг.скл = 515.65 * 7.56 = 3898.31 ) </t>
  </si>
  <si>
    <t>Лоток водоотводный бетонный ЛВБ Aquastok Optima 200 №0/1 с доставкой</t>
  </si>
  <si>
    <t xml:space="preserve">Сметная цена в Текущем уровне (расчет)                                                                                                  ( [3 637,03 /  7,56] +  2% Заг.скл = 490.71 * 7.56 = 3709.77 ) </t>
  </si>
  <si>
    <t>Лоток водоотводный бетонный ЛВБ Aquastok Optima 200 №0/2  с доставкой</t>
  </si>
  <si>
    <t xml:space="preserve">Сметная цена в Текущем уровне (расчет)                                                                                                  ( [3 698,23 /  7,56] +  2% Заг.скл = 498.96 * 7.56 = 3772.14 ) </t>
  </si>
  <si>
    <t>Лоток водоотводный бетонный ЛВБ Aquastok Optima 200 №0/3  с доставкой</t>
  </si>
  <si>
    <t xml:space="preserve">Сметная цена в Текущем уровне (расчет)                                                                                                  ( [3 759,44 /  7,56] +  2% Заг.скл = 507.23 * 7.56 = 3834.66 ) </t>
  </si>
  <si>
    <t>Лоток водоотводный бетонный ЛВБ Aquastok Optima 200 №10/0  с доставкой</t>
  </si>
  <si>
    <t xml:space="preserve">Сметная цена в Текущем уровне (расчет)                                                                                                  ( [3 944,29 /  7,56] +  2% Заг.скл = 532.16 * 7.56 = 4023.13 ) </t>
  </si>
  <si>
    <t>Лоток водоотводный бетонный ЛВБ Aquastok Optima 200 №15/0  с доставкой</t>
  </si>
  <si>
    <t xml:space="preserve">Сметная цена в Текущем уровне (расчет)                                                                                                  ( [4 005,49 /  7,56] +  2% Заг.скл = 540.43 * 7.56 = 4085.65 ) </t>
  </si>
  <si>
    <t>Лоток водоотводный бетонный ЛВБ Aquastok Optima 200 №20/0  с доставкой</t>
  </si>
  <si>
    <t xml:space="preserve">Сметная цена в Текущем уровне (расчет)                                                                                                  ( [4 066,7 /  7,56] +  2% Заг.скл = 548.68 * 7.56 = 4148.02 ) </t>
  </si>
  <si>
    <t>Лоток водоотводный бетонный ЛВБ Aquastok Optima 200 №20/1  с доставкой</t>
  </si>
  <si>
    <t xml:space="preserve">Сметная цена в Текущем уровне (расчет)                                                                                                  ( [4 118,01 /  7,56] +  2% Заг.скл = 555.6 * 7.56 = 4200.34 ) </t>
  </si>
  <si>
    <t>Лоток водоотводный бетонный ЛВБ Aquastok Optima 200 №5/0  с доставкой</t>
  </si>
  <si>
    <t xml:space="preserve">Сметная цена в Текущем уровне (расчет)                                                                                                  ( [3 883,08 /  7,56] +  2% Заг.скл = 523.9 * 7.56 = 3960.68 ) </t>
  </si>
  <si>
    <t>Пескоуловитель бетонный ПБ Aquastok Optima 200  с доставкой</t>
  </si>
  <si>
    <t xml:space="preserve">Сметная цена в Текущем уровне (расчет)                                                                                                  ( [8 329,03 /  7,56] +  2% Заг.скл = 1123.75 * 7.56 = 8495.55 ) </t>
  </si>
  <si>
    <t>Решетка чугунная РЧВ Aquastok Optima DN100 D400 «волна»  с доставкой</t>
  </si>
  <si>
    <t xml:space="preserve">Сметная цена в Текущем уровне (расчет)                                                                                                  ( [1 459,33 /  7,56] +  2% Заг.скл = 196.89 * 7.56 = 1488.49 ) </t>
  </si>
  <si>
    <t>Решетка чугунная РЧВ Aquastok Optima DN200 D400 «волна»  с доставкой</t>
  </si>
  <si>
    <t xml:space="preserve">Сметная цена в Текущем уровне (расчет)                                                                                                  ( [3 092,56 /  7,56] +  2% Заг.скл = 417.25 * 7.56 = 3154.41 ) </t>
  </si>
  <si>
    <t>100 м3 уплотненного грунта</t>
  </si>
  <si>
    <t>Уплотнение грунта пневматическими трамбовками, группа грунтов 1-2</t>
  </si>
  <si>
    <t>01-02-005-1</t>
  </si>
  <si>
    <t>Засыпка траншей и котлованов с перемещением грунта до 5 м бульдозерами мощностью 59 кВт (80 л.с.), группа грунтов 2</t>
  </si>
  <si>
    <t>01-01-033-2</t>
  </si>
  <si>
    <t>1 т конструкций</t>
  </si>
  <si>
    <t>Монтаж лотков, решеток, затворов из полосовой и тонколистовой стали</t>
  </si>
  <si>
    <t>09-06-001-2</t>
  </si>
  <si>
    <t>100 м3 сборных железобетонных конструкций</t>
  </si>
  <si>
    <t>Установка лотков между сооружениями сечением до 0,5 м2</t>
  </si>
  <si>
    <t>07-02-002-7</t>
  </si>
  <si>
    <t>1 м3</t>
  </si>
  <si>
    <t>Пробивка проемов в конструкциях из бетона (отверстие в Л1 для стыковки с Л2,Л3)</t>
  </si>
  <si>
    <t>46-03-007-2</t>
  </si>
  <si>
    <t>100 п. м шва</t>
  </si>
  <si>
    <t>Гидроизоляция набухающей самоклеящейся лентой горизонтальных швов горизонтальных швов</t>
  </si>
  <si>
    <t>46-08-022-5</t>
  </si>
  <si>
    <t>100 м шва</t>
  </si>
  <si>
    <t>Герметизация мастикой швов вертикальных</t>
  </si>
  <si>
    <t>07-01-037-4</t>
  </si>
  <si>
    <t>100 м2 изолируемой поверхности</t>
  </si>
  <si>
    <t>Гидроизоляция боковая обмазочная битумная в 2 слоя по выровненной поверхности бутовой кладки, кирпичу, бетону (стенки бетонной обоймы, соприкасаемые с грунтом)</t>
  </si>
  <si>
    <t>08-01-003-7</t>
  </si>
  <si>
    <t>Устройство бетонных фундаментов общего назначения под колонны объемом более 5 м3</t>
  </si>
  <si>
    <t>06-01-001-4</t>
  </si>
  <si>
    <t>Гидроизоляция стен, фундаментов горизонтальная оклеечная в 2 слоя</t>
  </si>
  <si>
    <t>08-01-003-3</t>
  </si>
  <si>
    <t>10 м3 основания</t>
  </si>
  <si>
    <t>Устройство основания под трубопроводы щебеночного</t>
  </si>
  <si>
    <t>23-01-001-2</t>
  </si>
  <si>
    <t>Разработка грунта в траншеях экскаватором «обратная лопата» с ковшом вместимостью 0,5 (0,5-0,63) м3, в отвал группа грунтов 2</t>
  </si>
  <si>
    <t>01-01-009-14</t>
  </si>
  <si>
    <t>Водоотводные сооружения</t>
  </si>
  <si>
    <t>ЛОКАЛЬНАЯ СМЕТА № 6.2.3.1</t>
  </si>
  <si>
    <t xml:space="preserve">Примечание: </t>
  </si>
  <si>
    <t>Механизмы:- подрядчика</t>
  </si>
  <si>
    <t>Обеспечение водой, электроэнергией- Генподрядчик с последующей компенсацией затрат подрядчиком</t>
  </si>
  <si>
    <t>Обеспечение бытовыми помещениями (вагон-бытовками)- Подрядчик</t>
  </si>
  <si>
    <t>Охрана объекта- Генподрядчик</t>
  </si>
  <si>
    <t xml:space="preserve">В стоимость работ входят все затраты подрядчика (ОЗП, НР, СП, ЭМ) . Недостатки выявленные представителями заказчика устраняются за счет подрядчика и дополнительной оплате не подлежат. </t>
  </si>
  <si>
    <t>Разгрузка и складирование материалов за счет подрядчика, входит в стоимость работ и дополнительной оплате не подлежит</t>
  </si>
  <si>
    <t>Работы выполненные с нарушением требований руководящих документов (СП, СНиП, ГОСТ, РД) исправляются за счет подрядчика и дополнительной оплате не подлежат. При наличии замечаний со стороны отдела технического надзора, они устраняются за свой счет, своими материалами, либо материалами генподрядчика с компенсацией стоимости данных материалов. Дополнительной оплате не подлежат.</t>
  </si>
  <si>
    <t>Подрядчик обеспечивает во время проведения работ соблюдение требований пожарной безопасности, техники безопасности, охраны труда и производственной санитарии на объекте.</t>
  </si>
  <si>
    <t>Стоимость выполнения работ (за единицу измерения) фиксируется на период выполнения работ. При наличии дополнительно выявленных и неучтенных работ, стоимость работ согласовывается отдельно.</t>
  </si>
  <si>
    <t xml:space="preserve">На торги выставляются объемы  по благоустройству территории </t>
  </si>
  <si>
    <t>После подписания договора подряда:  разработка и предоставление  ППР на выполняемые работы</t>
  </si>
  <si>
    <t>В процессе работы ведение общего журнала работ, оформление актов освидетельствования скрытых работ в соответствии с требованиями СП и РД</t>
  </si>
  <si>
    <t>Аванс- до 10%</t>
  </si>
  <si>
    <t>Гарантийное удержание -5% от суммы выполненных работ за отчетный период, Гарантийные удержания накапливаются ГЕНПОДРЯДЧИКОМ и будут выплачены ПОДРЯДЧИКУ по истечении 66 (шестидесяти шести) месяцев с даты подписания Сторонами акта полностью выполненного  комплекса работ по настоящему договору. По письменному обращению ПОДРЯДЧИКА, ГЕНПОДРЯДЧИК может рассмотреть возможность досрочного возврата сумм гарантийного удержания, но не ранее 6 месяцев после ввода объекта в эксплуатацию.</t>
  </si>
  <si>
    <t>Гарантийный срок на выполняемые работы  - 66 месяцев</t>
  </si>
  <si>
    <t>Наличие необходимых документов для выполнения данного вида работ.  Наличие СРО не обязательно.</t>
  </si>
  <si>
    <t xml:space="preserve">Указать количество работников в штате органиации </t>
  </si>
  <si>
    <t xml:space="preserve">Опыт подтверждающий выполнение данного вида работ. (договор, акты выполненных работ на сумму договора) </t>
  </si>
  <si>
    <t>Указать список спецтехники. Предоставить договора аренды спецтехники.</t>
  </si>
  <si>
    <t>Проект рассмотрен. Расчет договорной цены  выполнен в соответствии с проектом.</t>
  </si>
  <si>
    <t>С условиями договора ознакомлен и согласен. Принимается типовая форма договора в редакции Генподрядчика.</t>
  </si>
  <si>
    <t>С условиями финансирования согласен.</t>
  </si>
  <si>
    <t xml:space="preserve">Приложения (копии документов): </t>
  </si>
  <si>
    <t>свидетельство о допуске к ведению работ (СРО) не  обязательно;</t>
  </si>
  <si>
    <t>свидетельство о регистрации юридического лица (ОГРН);</t>
  </si>
  <si>
    <t>свидетельство о постановке на учет юридического лица  в налоговом органе  (ИНН);</t>
  </si>
  <si>
    <t>карточка учета организации; - АНКЕТА ОРГАНИЗАЦИИ</t>
  </si>
  <si>
    <t>устав организации;</t>
  </si>
  <si>
    <t>выписка из ЕГРЮЛ ;</t>
  </si>
  <si>
    <t>документы, подтверждающие полномочия на право подписания договора (приказ о назначении на должность, протокол, решение, доверенность от организации на подписанта о наделении полномочий).</t>
  </si>
  <si>
    <t>бухгалтерский баланс (форма 1,2,5)</t>
  </si>
  <si>
    <t>Ответственный: Инженер ПТС ПТГ</t>
  </si>
  <si>
    <t xml:space="preserve">Е.Б. Ионова </t>
  </si>
  <si>
    <t>Посулихин А.А.</t>
  </si>
  <si>
    <t xml:space="preserve">ТЕХНИЧЕСКОЕ ЗАДАНИЕ </t>
  </si>
  <si>
    <t>ООО "______________________________" готово выполнить полный комплекс работ на нижеследующих условиях:</t>
  </si>
  <si>
    <t>ИНН   ______________________________</t>
  </si>
  <si>
    <t xml:space="preserve">                                Директор ООО "ОСУ-2" </t>
  </si>
  <si>
    <t xml:space="preserve">                              УДТВЕРЖДАЮ</t>
  </si>
  <si>
    <t xml:space="preserve">Комплекс из 2-х многоквартирных домов, расположенных по адресу г.Орел, б-р Молодежи, участок 2а. 1-й этап строительства </t>
  </si>
  <si>
    <t xml:space="preserve"> многоквартирный дом корпус 2 (поз.1)</t>
  </si>
  <si>
    <t>Генподрядчик осуществляет необходимую для строительства объекта поставку стороительных материалов,  в соответвии с перечнем , указанным в приложении 1-6 . Остальные материалы, в т.ч. сопутствующие, инструменты, оснастка, оборудование, расходники   и т.д.  - подрядчика .</t>
  </si>
  <si>
    <t>Давальческий</t>
  </si>
  <si>
    <t xml:space="preserve">Давальческий </t>
  </si>
  <si>
    <t>Приложение 2</t>
  </si>
  <si>
    <t xml:space="preserve">Приложение 1 </t>
  </si>
  <si>
    <t xml:space="preserve">Приложение 3 </t>
  </si>
  <si>
    <t xml:space="preserve">Приложение 4 </t>
  </si>
  <si>
    <t xml:space="preserve">Приложение 5 </t>
  </si>
  <si>
    <t>Сроки производства работ :            с  даты заключения договора по 30.11.2025г.</t>
  </si>
  <si>
    <t xml:space="preserve">Благоустройство территории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</si>
</sst>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name val="Arial"/>
      <family val="2"/>
      <charset val="204"/>
    </font>
    <font>
      <b/>
      <i/>
      <u/>
      <sz val="9"/>
      <name val="Arial"/>
      <family val="2"/>
      <charset val="204"/>
    </font>
    <font>
      <b/>
      <i/>
      <sz val="9"/>
      <color rgb="FFFFFFFF"/>
      <name val="Arial"/>
      <family val="2"/>
      <charset val="204"/>
    </font>
    <font>
      <sz val="7"/>
      <color rgb="FF0000FF"/>
      <name val="Arial"/>
      <family val="2"/>
      <charset val="204"/>
    </font>
    <font>
      <sz val="9"/>
      <color rgb="FF800000"/>
      <name val="Arial"/>
      <family val="2"/>
      <charset val="204"/>
    </font>
    <font>
      <sz val="10"/>
      <color rgb="FF0000FF"/>
      <name val="Arial"/>
      <family val="2"/>
      <charset val="204"/>
    </font>
    <font>
      <sz val="8"/>
      <color rgb="FF0000FF"/>
      <name val="Arial"/>
      <family val="2"/>
      <charset val="204"/>
    </font>
    <font>
      <sz val="9"/>
      <color rgb="FF0000FF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008000"/>
      <name val="Arial"/>
      <family val="2"/>
      <charset val="204"/>
    </font>
    <font>
      <sz val="8"/>
      <color rgb="FF008000"/>
      <name val="Arial"/>
      <family val="2"/>
      <charset val="204"/>
    </font>
    <font>
      <sz val="9"/>
      <color rgb="FF008000"/>
      <name val="Arial"/>
      <family val="2"/>
      <charset val="204"/>
    </font>
    <font>
      <b/>
      <sz val="9"/>
      <color rgb="FF008000"/>
      <name val="Arial"/>
      <family val="2"/>
      <charset val="204"/>
    </font>
    <font>
      <sz val="10"/>
      <color rgb="FF000080"/>
      <name val="Arial"/>
      <family val="2"/>
      <charset val="204"/>
    </font>
    <font>
      <i/>
      <sz val="10"/>
      <color rgb="FF000080"/>
      <name val="Arial"/>
      <family val="2"/>
      <charset val="204"/>
    </font>
    <font>
      <sz val="10"/>
      <color rgb="FF8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FF"/>
      <name val="Arial"/>
      <family val="2"/>
      <charset val="204"/>
    </font>
    <font>
      <i/>
      <sz val="10"/>
      <color rgb="FFFF00FF"/>
      <name val="Arial"/>
      <family val="2"/>
      <charset val="204"/>
    </font>
    <font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9"/>
      <color rgb="FFFFFFFF"/>
      <name val="Arial"/>
      <family val="2"/>
      <charset val="204"/>
    </font>
    <font>
      <sz val="8"/>
      <name val="Times New Roman"/>
      <family val="1"/>
      <charset val="204"/>
    </font>
    <font>
      <sz val="9"/>
      <color rgb="FFFF00FF"/>
      <name val="Arial"/>
      <family val="2"/>
      <charset val="204"/>
    </font>
    <font>
      <b/>
      <i/>
      <u/>
      <sz val="11"/>
      <color rgb="FF00408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rgb="FF800000"/>
      <name val="Arial"/>
      <family val="2"/>
      <charset val="204"/>
    </font>
    <font>
      <b/>
      <u/>
      <sz val="9"/>
      <name val="Arial"/>
      <family val="2"/>
      <charset val="204"/>
    </font>
    <font>
      <b/>
      <sz val="11"/>
      <color rgb="FF00B0F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B0F0"/>
      <name val="Arial Narrow"/>
      <family val="2"/>
      <charset val="204"/>
    </font>
    <font>
      <sz val="8"/>
      <name val="Arial Narrow"/>
      <family val="2"/>
      <charset val="204"/>
    </font>
    <font>
      <b/>
      <sz val="14"/>
      <name val="Arial Narrow"/>
      <family val="2"/>
      <charset val="204"/>
    </font>
    <font>
      <u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u/>
      <sz val="1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17" fillId="0" borderId="0" xfId="0" applyFont="1"/>
    <xf numFmtId="0" fontId="11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49" fontId="13" fillId="0" borderId="0" xfId="0" applyNumberFormat="1" applyFont="1" applyAlignment="1">
      <alignment wrapText="1"/>
    </xf>
    <xf numFmtId="14" fontId="0" fillId="0" borderId="0" xfId="0" applyNumberFormat="1"/>
    <xf numFmtId="0" fontId="0" fillId="0" borderId="2" xfId="0" applyBorder="1"/>
    <xf numFmtId="0" fontId="0" fillId="0" borderId="6" xfId="0" applyBorder="1"/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/>
    <xf numFmtId="49" fontId="15" fillId="0" borderId="12" xfId="0" applyNumberFormat="1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wrapText="1"/>
    </xf>
    <xf numFmtId="0" fontId="19" fillId="0" borderId="0" xfId="0" applyFont="1" applyAlignment="1">
      <alignment horizontal="right" shrinkToFit="1"/>
    </xf>
    <xf numFmtId="4" fontId="13" fillId="0" borderId="0" xfId="0" applyNumberFormat="1" applyFont="1" applyAlignment="1">
      <alignment horizontal="right" shrinkToFit="1"/>
    </xf>
    <xf numFmtId="4" fontId="12" fillId="0" borderId="0" xfId="0" applyNumberFormat="1" applyFont="1" applyAlignment="1">
      <alignment horizontal="right" shrinkToFit="1"/>
    </xf>
    <xf numFmtId="0" fontId="22" fillId="0" borderId="13" xfId="0" applyFont="1" applyBorder="1" applyAlignment="1">
      <alignment horizontal="center" wrapText="1"/>
    </xf>
    <xf numFmtId="0" fontId="0" fillId="0" borderId="18" xfId="0" applyBorder="1"/>
    <xf numFmtId="0" fontId="25" fillId="0" borderId="0" xfId="0" applyFont="1"/>
    <xf numFmtId="0" fontId="26" fillId="0" borderId="0" xfId="0" applyFont="1" applyAlignment="1">
      <alignment wrapText="1"/>
    </xf>
    <xf numFmtId="0" fontId="0" fillId="0" borderId="3" xfId="0" applyBorder="1"/>
    <xf numFmtId="0" fontId="12" fillId="0" borderId="23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right" wrapText="1"/>
    </xf>
    <xf numFmtId="0" fontId="22" fillId="0" borderId="22" xfId="0" applyFont="1" applyBorder="1" applyAlignment="1">
      <alignment horizontal="right" shrinkToFit="1"/>
    </xf>
    <xf numFmtId="4" fontId="22" fillId="0" borderId="22" xfId="0" applyNumberFormat="1" applyFont="1" applyBorder="1" applyAlignment="1">
      <alignment horizontal="right" shrinkToFit="1"/>
    </xf>
    <xf numFmtId="3" fontId="24" fillId="0" borderId="22" xfId="0" applyNumberFormat="1" applyFont="1" applyBorder="1" applyAlignment="1">
      <alignment horizontal="right" shrinkToFit="1"/>
    </xf>
    <xf numFmtId="0" fontId="28" fillId="0" borderId="22" xfId="0" applyFont="1" applyBorder="1" applyAlignment="1">
      <alignment horizontal="right" shrinkToFit="1"/>
    </xf>
    <xf numFmtId="3" fontId="24" fillId="0" borderId="24" xfId="0" applyNumberFormat="1" applyFont="1" applyBorder="1" applyAlignment="1">
      <alignment horizontal="right" shrinkToFit="1"/>
    </xf>
    <xf numFmtId="49" fontId="12" fillId="0" borderId="22" xfId="0" applyNumberFormat="1" applyFont="1" applyBorder="1" applyAlignment="1">
      <alignment horizontal="left" vertical="top" wrapText="1"/>
    </xf>
    <xf numFmtId="49" fontId="27" fillId="0" borderId="22" xfId="0" applyNumberFormat="1" applyFont="1" applyBorder="1" applyAlignment="1">
      <alignment horizontal="left" vertical="top" wrapText="1" shrinkToFit="1"/>
    </xf>
    <xf numFmtId="0" fontId="0" fillId="0" borderId="10" xfId="0" applyBorder="1"/>
    <xf numFmtId="0" fontId="0" fillId="0" borderId="25" xfId="0" applyBorder="1"/>
    <xf numFmtId="0" fontId="0" fillId="0" borderId="26" xfId="0" applyBorder="1"/>
    <xf numFmtId="0" fontId="30" fillId="0" borderId="10" xfId="0" applyFont="1" applyBorder="1" applyAlignment="1">
      <alignment horizontal="left" vertical="top" shrinkToFit="1"/>
    </xf>
    <xf numFmtId="0" fontId="0" fillId="0" borderId="27" xfId="0" applyBorder="1"/>
    <xf numFmtId="0" fontId="0" fillId="0" borderId="15" xfId="0" applyBorder="1"/>
    <xf numFmtId="0" fontId="12" fillId="0" borderId="15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right" wrapText="1"/>
    </xf>
    <xf numFmtId="0" fontId="22" fillId="0" borderId="27" xfId="0" applyFont="1" applyBorder="1" applyAlignment="1">
      <alignment horizontal="right" shrinkToFit="1"/>
    </xf>
    <xf numFmtId="4" fontId="22" fillId="0" borderId="27" xfId="0" applyNumberFormat="1" applyFont="1" applyBorder="1" applyAlignment="1">
      <alignment horizontal="right" shrinkToFit="1"/>
    </xf>
    <xf numFmtId="0" fontId="31" fillId="0" borderId="27" xfId="0" applyFont="1" applyBorder="1" applyAlignment="1">
      <alignment horizontal="left" shrinkToFit="1"/>
    </xf>
    <xf numFmtId="3" fontId="22" fillId="0" borderId="27" xfId="0" applyNumberFormat="1" applyFont="1" applyBorder="1" applyAlignment="1">
      <alignment horizontal="right" shrinkToFit="1"/>
    </xf>
    <xf numFmtId="0" fontId="28" fillId="0" borderId="27" xfId="0" applyFont="1" applyBorder="1" applyAlignment="1">
      <alignment horizontal="right" shrinkToFit="1"/>
    </xf>
    <xf numFmtId="3" fontId="22" fillId="0" borderId="28" xfId="0" applyNumberFormat="1" applyFont="1" applyBorder="1" applyAlignment="1">
      <alignment horizontal="right" shrinkToFit="1"/>
    </xf>
    <xf numFmtId="4" fontId="0" fillId="0" borderId="0" xfId="0" applyNumberFormat="1"/>
    <xf numFmtId="0" fontId="32" fillId="0" borderId="15" xfId="0" applyFont="1" applyBorder="1" applyAlignment="1">
      <alignment horizontal="left" vertical="top" wrapText="1"/>
    </xf>
    <xf numFmtId="0" fontId="32" fillId="0" borderId="27" xfId="0" applyFont="1" applyBorder="1" applyAlignment="1">
      <alignment horizontal="left" vertical="top" wrapText="1"/>
    </xf>
    <xf numFmtId="0" fontId="32" fillId="0" borderId="27" xfId="0" applyFont="1" applyBorder="1" applyAlignment="1">
      <alignment horizontal="right" wrapText="1"/>
    </xf>
    <xf numFmtId="0" fontId="33" fillId="0" borderId="27" xfId="0" applyFont="1" applyBorder="1" applyAlignment="1">
      <alignment horizontal="right" shrinkToFit="1"/>
    </xf>
    <xf numFmtId="4" fontId="33" fillId="0" borderId="27" xfId="0" applyNumberFormat="1" applyFont="1" applyBorder="1" applyAlignment="1">
      <alignment horizontal="left" shrinkToFit="1"/>
    </xf>
    <xf numFmtId="0" fontId="33" fillId="0" borderId="27" xfId="0" applyFont="1" applyBorder="1" applyAlignment="1">
      <alignment horizontal="left" shrinkToFit="1"/>
    </xf>
    <xf numFmtId="4" fontId="33" fillId="0" borderId="27" xfId="0" applyNumberFormat="1" applyFont="1" applyBorder="1" applyAlignment="1">
      <alignment horizontal="right" shrinkToFit="1"/>
    </xf>
    <xf numFmtId="3" fontId="33" fillId="0" borderId="27" xfId="0" applyNumberFormat="1" applyFont="1" applyBorder="1" applyAlignment="1">
      <alignment horizontal="right" shrinkToFit="1"/>
    </xf>
    <xf numFmtId="3" fontId="33" fillId="0" borderId="28" xfId="0" applyNumberFormat="1" applyFont="1" applyBorder="1" applyAlignment="1">
      <alignment horizontal="right" shrinkToFit="1"/>
    </xf>
    <xf numFmtId="9" fontId="33" fillId="0" borderId="27" xfId="0" applyNumberFormat="1" applyFont="1" applyBorder="1" applyAlignment="1">
      <alignment horizontal="right" shrinkToFit="1"/>
    </xf>
    <xf numFmtId="4" fontId="12" fillId="0" borderId="27" xfId="0" applyNumberFormat="1" applyFont="1" applyBorder="1" applyAlignment="1">
      <alignment horizontal="right" vertical="top" shrinkToFit="1"/>
    </xf>
    <xf numFmtId="0" fontId="0" fillId="0" borderId="29" xfId="0" applyBorder="1"/>
    <xf numFmtId="0" fontId="0" fillId="0" borderId="30" xfId="0" applyBorder="1"/>
    <xf numFmtId="0" fontId="35" fillId="0" borderId="29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right" wrapText="1"/>
    </xf>
    <xf numFmtId="0" fontId="36" fillId="0" borderId="6" xfId="0" applyFont="1" applyBorder="1" applyAlignment="1">
      <alignment horizontal="right" shrinkToFit="1"/>
    </xf>
    <xf numFmtId="4" fontId="36" fillId="0" borderId="6" xfId="0" applyNumberFormat="1" applyFont="1" applyBorder="1" applyAlignment="1">
      <alignment horizontal="right" shrinkToFit="1"/>
    </xf>
    <xf numFmtId="0" fontId="31" fillId="0" borderId="6" xfId="0" applyFont="1" applyBorder="1" applyAlignment="1">
      <alignment horizontal="left" shrinkToFit="1"/>
    </xf>
    <xf numFmtId="3" fontId="36" fillId="0" borderId="6" xfId="0" applyNumberFormat="1" applyFont="1" applyBorder="1" applyAlignment="1">
      <alignment horizontal="right" shrinkToFit="1"/>
    </xf>
    <xf numFmtId="0" fontId="28" fillId="0" borderId="6" xfId="0" applyFont="1" applyBorder="1" applyAlignment="1">
      <alignment horizontal="right" shrinkToFit="1"/>
    </xf>
    <xf numFmtId="3" fontId="36" fillId="0" borderId="30" xfId="0" applyNumberFormat="1" applyFont="1" applyBorder="1" applyAlignment="1">
      <alignment horizontal="right" shrinkToFit="1"/>
    </xf>
    <xf numFmtId="49" fontId="35" fillId="0" borderId="6" xfId="0" applyNumberFormat="1" applyFont="1" applyBorder="1" applyAlignment="1">
      <alignment horizontal="left" vertical="top" wrapText="1"/>
    </xf>
    <xf numFmtId="4" fontId="2" fillId="0" borderId="0" xfId="0" applyNumberFormat="1" applyFont="1"/>
    <xf numFmtId="0" fontId="30" fillId="0" borderId="10" xfId="0" applyFont="1" applyBorder="1" applyAlignment="1">
      <alignment horizontal="left" vertical="top"/>
    </xf>
    <xf numFmtId="0" fontId="34" fillId="0" borderId="0" xfId="0" applyFont="1"/>
    <xf numFmtId="0" fontId="30" fillId="0" borderId="6" xfId="0" applyFont="1" applyBorder="1" applyAlignment="1">
      <alignment horizontal="left" vertical="top"/>
    </xf>
    <xf numFmtId="0" fontId="35" fillId="0" borderId="25" xfId="0" applyFont="1" applyBorder="1" applyAlignment="1">
      <alignment horizontal="left" vertical="top" wrapText="1"/>
    </xf>
    <xf numFmtId="49" fontId="35" fillId="0" borderId="10" xfId="0" applyNumberFormat="1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right" wrapText="1"/>
    </xf>
    <xf numFmtId="0" fontId="36" fillId="0" borderId="10" xfId="0" applyFont="1" applyBorder="1" applyAlignment="1">
      <alignment horizontal="right" shrinkToFit="1"/>
    </xf>
    <xf numFmtId="4" fontId="36" fillId="0" borderId="10" xfId="0" applyNumberFormat="1" applyFont="1" applyBorder="1" applyAlignment="1">
      <alignment horizontal="right" shrinkToFit="1"/>
    </xf>
    <xf numFmtId="0" fontId="31" fillId="0" borderId="10" xfId="0" applyFont="1" applyBorder="1" applyAlignment="1">
      <alignment horizontal="left" shrinkToFit="1"/>
    </xf>
    <xf numFmtId="3" fontId="36" fillId="0" borderId="10" xfId="0" applyNumberFormat="1" applyFont="1" applyBorder="1" applyAlignment="1">
      <alignment horizontal="right" shrinkToFit="1"/>
    </xf>
    <xf numFmtId="0" fontId="28" fillId="0" borderId="10" xfId="0" applyFont="1" applyBorder="1" applyAlignment="1">
      <alignment horizontal="right" shrinkToFit="1"/>
    </xf>
    <xf numFmtId="3" fontId="36" fillId="0" borderId="26" xfId="0" applyNumberFormat="1" applyFont="1" applyBorder="1" applyAlignment="1">
      <alignment horizontal="right" shrinkToFit="1"/>
    </xf>
    <xf numFmtId="0" fontId="18" fillId="0" borderId="27" xfId="0" applyFont="1" applyBorder="1" applyAlignment="1">
      <alignment vertical="top" shrinkToFit="1"/>
    </xf>
    <xf numFmtId="0" fontId="18" fillId="0" borderId="15" xfId="0" applyFont="1" applyBorder="1" applyAlignment="1">
      <alignment vertical="top" shrinkToFit="1"/>
    </xf>
    <xf numFmtId="0" fontId="37" fillId="0" borderId="31" xfId="0" applyFont="1" applyBorder="1" applyAlignment="1">
      <alignment vertical="top" shrinkToFit="1"/>
    </xf>
    <xf numFmtId="0" fontId="37" fillId="0" borderId="32" xfId="0" applyFont="1" applyBorder="1" applyAlignment="1">
      <alignment vertical="top" shrinkToFit="1"/>
    </xf>
    <xf numFmtId="0" fontId="12" fillId="0" borderId="29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right" wrapText="1"/>
    </xf>
    <xf numFmtId="0" fontId="22" fillId="0" borderId="6" xfId="0" applyFont="1" applyBorder="1" applyAlignment="1">
      <alignment horizontal="right" shrinkToFit="1"/>
    </xf>
    <xf numFmtId="4" fontId="22" fillId="0" borderId="6" xfId="0" applyNumberFormat="1" applyFont="1" applyBorder="1" applyAlignment="1">
      <alignment horizontal="right" shrinkToFit="1"/>
    </xf>
    <xf numFmtId="3" fontId="24" fillId="0" borderId="6" xfId="0" applyNumberFormat="1" applyFont="1" applyBorder="1" applyAlignment="1">
      <alignment horizontal="right" shrinkToFit="1"/>
    </xf>
    <xf numFmtId="3" fontId="24" fillId="0" borderId="30" xfId="0" applyNumberFormat="1" applyFont="1" applyBorder="1" applyAlignment="1">
      <alignment horizontal="right" shrinkToFit="1"/>
    </xf>
    <xf numFmtId="49" fontId="12" fillId="0" borderId="6" xfId="0" applyNumberFormat="1" applyFont="1" applyBorder="1" applyAlignment="1">
      <alignment horizontal="left" vertical="top" wrapText="1"/>
    </xf>
    <xf numFmtId="49" fontId="27" fillId="0" borderId="6" xfId="0" applyNumberFormat="1" applyFont="1" applyBorder="1" applyAlignment="1">
      <alignment horizontal="left" vertical="top" wrapText="1" shrinkToFit="1"/>
    </xf>
    <xf numFmtId="0" fontId="12" fillId="0" borderId="25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right" wrapText="1"/>
    </xf>
    <xf numFmtId="0" fontId="22" fillId="0" borderId="10" xfId="0" applyFont="1" applyBorder="1" applyAlignment="1">
      <alignment horizontal="right" shrinkToFit="1"/>
    </xf>
    <xf numFmtId="4" fontId="22" fillId="0" borderId="10" xfId="0" applyNumberFormat="1" applyFont="1" applyBorder="1" applyAlignment="1">
      <alignment horizontal="right" shrinkToFit="1"/>
    </xf>
    <xf numFmtId="3" fontId="22" fillId="0" borderId="10" xfId="0" applyNumberFormat="1" applyFont="1" applyBorder="1" applyAlignment="1">
      <alignment horizontal="right" shrinkToFit="1"/>
    </xf>
    <xf numFmtId="3" fontId="22" fillId="0" borderId="26" xfId="0" applyNumberFormat="1" applyFont="1" applyBorder="1" applyAlignment="1">
      <alignment horizontal="right" shrinkToFit="1"/>
    </xf>
    <xf numFmtId="3" fontId="0" fillId="0" borderId="0" xfId="0" applyNumberFormat="1"/>
    <xf numFmtId="0" fontId="0" fillId="0" borderId="18" xfId="0" applyBorder="1" applyAlignment="1">
      <alignment shrinkToFit="1"/>
    </xf>
    <xf numFmtId="0" fontId="18" fillId="0" borderId="18" xfId="0" applyFont="1" applyBorder="1" applyAlignment="1">
      <alignment shrinkToFit="1"/>
    </xf>
    <xf numFmtId="3" fontId="18" fillId="0" borderId="18" xfId="0" applyNumberFormat="1" applyFont="1" applyBorder="1" applyAlignment="1">
      <alignment shrinkToFit="1"/>
    </xf>
    <xf numFmtId="0" fontId="38" fillId="0" borderId="0" xfId="0" applyFont="1"/>
    <xf numFmtId="0" fontId="39" fillId="0" borderId="0" xfId="0" applyFont="1"/>
    <xf numFmtId="3" fontId="11" fillId="0" borderId="0" xfId="0" applyNumberFormat="1" applyFont="1" applyAlignment="1">
      <alignment shrinkToFit="1"/>
    </xf>
    <xf numFmtId="0" fontId="39" fillId="0" borderId="0" xfId="0" applyFont="1" applyAlignment="1">
      <alignment horizontal="left" indent="1"/>
    </xf>
    <xf numFmtId="0" fontId="40" fillId="0" borderId="0" xfId="0" applyFont="1"/>
    <xf numFmtId="0" fontId="40" fillId="0" borderId="0" xfId="0" applyFont="1" applyAlignment="1">
      <alignment horizontal="left" indent="2"/>
    </xf>
    <xf numFmtId="3" fontId="40" fillId="0" borderId="0" xfId="0" applyNumberFormat="1" applyFont="1" applyAlignment="1">
      <alignment shrinkToFit="1"/>
    </xf>
    <xf numFmtId="0" fontId="39" fillId="0" borderId="0" xfId="0" applyFont="1" applyAlignment="1">
      <alignment horizontal="left" indent="3"/>
    </xf>
    <xf numFmtId="0" fontId="40" fillId="0" borderId="0" xfId="0" applyFont="1" applyAlignment="1">
      <alignment horizontal="left" indent="4"/>
    </xf>
    <xf numFmtId="0" fontId="29" fillId="0" borderId="0" xfId="0" applyFont="1"/>
    <xf numFmtId="0" fontId="29" fillId="0" borderId="0" xfId="0" applyFont="1" applyAlignment="1">
      <alignment horizontal="left" indent="2"/>
    </xf>
    <xf numFmtId="3" fontId="29" fillId="0" borderId="0" xfId="0" applyNumberFormat="1" applyFont="1" applyAlignment="1">
      <alignment shrinkToFit="1"/>
    </xf>
    <xf numFmtId="0" fontId="29" fillId="0" borderId="0" xfId="0" applyFont="1" applyAlignment="1">
      <alignment horizontal="left" indent="4"/>
    </xf>
    <xf numFmtId="0" fontId="34" fillId="0" borderId="0" xfId="0" applyFont="1" applyAlignment="1">
      <alignment horizontal="left" indent="2"/>
    </xf>
    <xf numFmtId="3" fontId="34" fillId="0" borderId="0" xfId="0" applyNumberFormat="1" applyFont="1" applyAlignment="1">
      <alignment shrinkToFit="1"/>
    </xf>
    <xf numFmtId="0" fontId="34" fillId="0" borderId="0" xfId="0" applyFont="1" applyAlignment="1">
      <alignment horizontal="left" indent="3"/>
    </xf>
    <xf numFmtId="0" fontId="34" fillId="0" borderId="0" xfId="0" applyFont="1" applyAlignment="1">
      <alignment horizontal="left" indent="4"/>
    </xf>
    <xf numFmtId="0" fontId="34" fillId="0" borderId="0" xfId="0" applyFont="1" applyAlignment="1">
      <alignment horizontal="left" indent="6"/>
    </xf>
    <xf numFmtId="0" fontId="38" fillId="0" borderId="0" xfId="0" applyFont="1" applyAlignment="1">
      <alignment horizontal="left" indent="2"/>
    </xf>
    <xf numFmtId="3" fontId="38" fillId="0" borderId="0" xfId="0" applyNumberFormat="1" applyFont="1" applyAlignment="1">
      <alignment shrinkToFit="1"/>
    </xf>
    <xf numFmtId="0" fontId="41" fillId="0" borderId="0" xfId="0" applyFont="1"/>
    <xf numFmtId="3" fontId="41" fillId="0" borderId="0" xfId="0" applyNumberFormat="1" applyFont="1" applyAlignment="1">
      <alignment shrinkToFit="1"/>
    </xf>
    <xf numFmtId="0" fontId="42" fillId="0" borderId="0" xfId="0" applyFont="1"/>
    <xf numFmtId="3" fontId="42" fillId="0" borderId="0" xfId="0" applyNumberFormat="1" applyFont="1" applyAlignment="1">
      <alignment shrinkToFit="1"/>
    </xf>
    <xf numFmtId="0" fontId="43" fillId="0" borderId="0" xfId="0" applyFont="1" applyAlignment="1">
      <alignment horizontal="left" indent="1"/>
    </xf>
    <xf numFmtId="0" fontId="43" fillId="0" borderId="0" xfId="0" applyFont="1"/>
    <xf numFmtId="0" fontId="42" fillId="0" borderId="0" xfId="0" applyFont="1" applyAlignment="1">
      <alignment horizontal="left" indent="2"/>
    </xf>
    <xf numFmtId="0" fontId="42" fillId="0" borderId="0" xfId="0" applyFont="1" applyAlignment="1">
      <alignment horizontal="left" indent="4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3" fontId="18" fillId="0" borderId="0" xfId="0" applyNumberFormat="1" applyFont="1" applyAlignment="1">
      <alignment shrinkToFit="1"/>
    </xf>
    <xf numFmtId="4" fontId="11" fillId="0" borderId="0" xfId="0" applyNumberFormat="1" applyFont="1" applyAlignment="1">
      <alignment shrinkToFit="1"/>
    </xf>
    <xf numFmtId="4" fontId="18" fillId="0" borderId="0" xfId="0" applyNumberFormat="1" applyFont="1" applyAlignment="1">
      <alignment shrinkToFit="1"/>
    </xf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0" xfId="0" applyFont="1" applyAlignment="1">
      <alignment wrapText="1"/>
    </xf>
    <xf numFmtId="0" fontId="44" fillId="0" borderId="0" xfId="0" applyFont="1" applyAlignment="1">
      <alignment horizontal="left"/>
    </xf>
    <xf numFmtId="0" fontId="44" fillId="0" borderId="0" xfId="0" applyFont="1"/>
    <xf numFmtId="0" fontId="12" fillId="0" borderId="9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0" fontId="22" fillId="0" borderId="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46" fillId="0" borderId="0" xfId="0" applyFont="1"/>
    <xf numFmtId="0" fontId="18" fillId="0" borderId="0" xfId="0" applyFont="1" applyAlignment="1">
      <alignment horizontal="left" vertical="top"/>
    </xf>
    <xf numFmtId="3" fontId="18" fillId="0" borderId="0" xfId="0" applyNumberFormat="1" applyFont="1" applyAlignment="1">
      <alignment horizontal="right" vertical="top" shrinkToFit="1"/>
    </xf>
    <xf numFmtId="3" fontId="17" fillId="0" borderId="0" xfId="0" applyNumberFormat="1" applyFont="1"/>
    <xf numFmtId="0" fontId="0" fillId="0" borderId="6" xfId="0" applyFill="1" applyBorder="1"/>
    <xf numFmtId="0" fontId="18" fillId="0" borderId="6" xfId="0" applyFont="1" applyFill="1" applyBorder="1" applyAlignment="1">
      <alignment horizontal="left" vertical="top"/>
    </xf>
    <xf numFmtId="3" fontId="18" fillId="0" borderId="6" xfId="0" applyNumberFormat="1" applyFont="1" applyFill="1" applyBorder="1" applyAlignment="1">
      <alignment horizontal="right" vertical="top" shrinkToFit="1"/>
    </xf>
    <xf numFmtId="0" fontId="18" fillId="0" borderId="6" xfId="0" applyFont="1" applyFill="1" applyBorder="1"/>
    <xf numFmtId="0" fontId="22" fillId="0" borderId="6" xfId="0" applyFont="1" applyFill="1" applyBorder="1" applyAlignment="1">
      <alignment horizontal="center" vertical="top" shrinkToFit="1"/>
    </xf>
    <xf numFmtId="0" fontId="22" fillId="0" borderId="6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right" shrinkToFit="1"/>
    </xf>
    <xf numFmtId="4" fontId="22" fillId="0" borderId="6" xfId="0" applyNumberFormat="1" applyFont="1" applyFill="1" applyBorder="1" applyAlignment="1">
      <alignment horizontal="right" shrinkToFit="1"/>
    </xf>
    <xf numFmtId="3" fontId="22" fillId="0" borderId="6" xfId="0" applyNumberFormat="1" applyFont="1" applyFill="1" applyBorder="1" applyAlignment="1">
      <alignment horizontal="right" shrinkToFit="1"/>
    </xf>
    <xf numFmtId="0" fontId="36" fillId="0" borderId="6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/>
    <xf numFmtId="0" fontId="48" fillId="0" borderId="6" xfId="0" applyFont="1" applyFill="1" applyBorder="1" applyAlignment="1">
      <alignment horizontal="left" vertical="top" wrapText="1"/>
    </xf>
    <xf numFmtId="0" fontId="33" fillId="0" borderId="6" xfId="0" applyFont="1" applyFill="1" applyBorder="1" applyAlignment="1">
      <alignment horizontal="left" vertical="top" wrapText="1"/>
    </xf>
    <xf numFmtId="0" fontId="0" fillId="0" borderId="10" xfId="0" applyFill="1" applyBorder="1"/>
    <xf numFmtId="0" fontId="18" fillId="0" borderId="10" xfId="0" applyFont="1" applyFill="1" applyBorder="1" applyAlignment="1">
      <alignment horizontal="left" vertical="top"/>
    </xf>
    <xf numFmtId="3" fontId="18" fillId="0" borderId="10" xfId="0" applyNumberFormat="1" applyFont="1" applyFill="1" applyBorder="1" applyAlignment="1">
      <alignment horizontal="right" vertical="top" shrinkToFit="1"/>
    </xf>
    <xf numFmtId="0" fontId="0" fillId="0" borderId="8" xfId="0" applyBorder="1"/>
    <xf numFmtId="0" fontId="18" fillId="0" borderId="0" xfId="0" applyFont="1" applyAlignment="1">
      <alignment horizontal="left" vertical="top" indent="1"/>
    </xf>
    <xf numFmtId="0" fontId="50" fillId="0" borderId="0" xfId="0" applyFont="1" applyAlignment="1">
      <alignment wrapText="1"/>
    </xf>
    <xf numFmtId="0" fontId="0" fillId="0" borderId="0" xfId="0" applyNumberFormat="1"/>
    <xf numFmtId="0" fontId="51" fillId="0" borderId="6" xfId="0" applyFont="1" applyFill="1" applyBorder="1" applyAlignment="1">
      <alignment horizontal="center" vertical="top" shrinkToFit="1"/>
    </xf>
    <xf numFmtId="0" fontId="51" fillId="0" borderId="6" xfId="0" applyFont="1" applyFill="1" applyBorder="1" applyAlignment="1">
      <alignment horizontal="left" vertical="top" wrapText="1"/>
    </xf>
    <xf numFmtId="0" fontId="51" fillId="0" borderId="6" xfId="0" applyFont="1" applyFill="1" applyBorder="1" applyAlignment="1">
      <alignment horizontal="right" shrinkToFit="1"/>
    </xf>
    <xf numFmtId="0" fontId="51" fillId="0" borderId="6" xfId="0" applyFont="1" applyFill="1" applyBorder="1"/>
    <xf numFmtId="0" fontId="36" fillId="0" borderId="6" xfId="0" applyFont="1" applyFill="1" applyBorder="1" applyAlignment="1">
      <alignment horizontal="center" vertical="top" shrinkToFit="1"/>
    </xf>
    <xf numFmtId="0" fontId="36" fillId="0" borderId="6" xfId="0" applyFont="1" applyFill="1" applyBorder="1" applyAlignment="1">
      <alignment horizontal="left" vertical="top" wrapText="1" indent="1"/>
    </xf>
    <xf numFmtId="0" fontId="36" fillId="0" borderId="6" xfId="0" applyFont="1" applyFill="1" applyBorder="1" applyAlignment="1">
      <alignment horizontal="right" shrinkToFit="1"/>
    </xf>
    <xf numFmtId="0" fontId="33" fillId="0" borderId="6" xfId="0" applyFont="1" applyFill="1" applyBorder="1" applyAlignment="1">
      <alignment horizontal="right" shrinkToFit="1"/>
    </xf>
    <xf numFmtId="0" fontId="36" fillId="0" borderId="6" xfId="0" applyFont="1" applyFill="1" applyBorder="1"/>
    <xf numFmtId="0" fontId="0" fillId="2" borderId="0" xfId="0" applyFill="1"/>
    <xf numFmtId="0" fontId="22" fillId="0" borderId="16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54" fillId="3" borderId="0" xfId="2" applyFont="1" applyFill="1" applyProtection="1"/>
    <xf numFmtId="0" fontId="55" fillId="3" borderId="0" xfId="2" applyFont="1" applyFill="1" applyProtection="1"/>
    <xf numFmtId="2" fontId="54" fillId="3" borderId="0" xfId="2" applyNumberFormat="1" applyFont="1" applyFill="1" applyAlignment="1" applyProtection="1">
      <alignment horizontal="center"/>
      <protection locked="0"/>
    </xf>
    <xf numFmtId="2" fontId="55" fillId="3" borderId="0" xfId="2" applyNumberFormat="1" applyFont="1" applyFill="1" applyProtection="1">
      <protection locked="0"/>
    </xf>
    <xf numFmtId="0" fontId="55" fillId="3" borderId="0" xfId="2" applyFont="1" applyFill="1" applyBorder="1" applyAlignment="1" applyProtection="1">
      <alignment horizontal="left"/>
      <protection locked="0"/>
    </xf>
    <xf numFmtId="0" fontId="54" fillId="3" borderId="0" xfId="0" applyFont="1" applyFill="1" applyProtection="1"/>
    <xf numFmtId="0" fontId="55" fillId="3" borderId="0" xfId="2" applyFont="1" applyFill="1" applyAlignment="1" applyProtection="1">
      <alignment horizontal="center"/>
      <protection locked="0"/>
    </xf>
    <xf numFmtId="0" fontId="55" fillId="3" borderId="0" xfId="2" applyFont="1" applyFill="1" applyBorder="1" applyAlignment="1" applyProtection="1">
      <alignment horizontal="left" wrapText="1"/>
      <protection locked="0"/>
    </xf>
    <xf numFmtId="0" fontId="54" fillId="0" borderId="0" xfId="2" applyFont="1" applyProtection="1"/>
    <xf numFmtId="0" fontId="55" fillId="0" borderId="0" xfId="2" applyFont="1" applyBorder="1" applyAlignment="1" applyProtection="1">
      <alignment horizontal="left"/>
      <protection locked="0"/>
    </xf>
    <xf numFmtId="0" fontId="55" fillId="0" borderId="0" xfId="2" applyFont="1" applyAlignment="1" applyProtection="1">
      <alignment horizontal="center"/>
      <protection locked="0"/>
    </xf>
    <xf numFmtId="2" fontId="55" fillId="0" borderId="0" xfId="2" applyNumberFormat="1" applyFont="1" applyProtection="1">
      <protection locked="0"/>
    </xf>
    <xf numFmtId="0" fontId="54" fillId="0" borderId="0" xfId="2" applyFont="1" applyAlignment="1" applyProtection="1">
      <alignment horizontal="right"/>
    </xf>
    <xf numFmtId="0" fontId="54" fillId="0" borderId="0" xfId="2" applyFont="1" applyAlignment="1" applyProtection="1">
      <alignment horizontal="right" vertical="top"/>
    </xf>
    <xf numFmtId="0" fontId="55" fillId="0" borderId="0" xfId="2" applyNumberFormat="1" applyFont="1" applyFill="1" applyBorder="1" applyAlignment="1" applyProtection="1">
      <alignment vertical="top"/>
    </xf>
    <xf numFmtId="2" fontId="55" fillId="0" borderId="0" xfId="2" applyNumberFormat="1" applyFont="1" applyFill="1" applyBorder="1" applyAlignment="1" applyProtection="1">
      <alignment vertical="top"/>
    </xf>
    <xf numFmtId="2" fontId="55" fillId="0" borderId="0" xfId="2" applyNumberFormat="1" applyFont="1" applyAlignment="1" applyProtection="1">
      <alignment vertical="top"/>
    </xf>
    <xf numFmtId="0" fontId="55" fillId="0" borderId="0" xfId="2" applyNumberFormat="1" applyFont="1" applyFill="1" applyBorder="1" applyAlignment="1" applyProtection="1">
      <alignment horizontal="left" vertical="top"/>
    </xf>
    <xf numFmtId="2" fontId="55" fillId="0" borderId="0" xfId="2" applyNumberFormat="1" applyFont="1" applyFill="1" applyBorder="1" applyAlignment="1" applyProtection="1">
      <alignment horizontal="left" vertical="top"/>
    </xf>
    <xf numFmtId="2" fontId="55" fillId="0" borderId="0" xfId="2" applyNumberFormat="1" applyFont="1" applyAlignment="1" applyProtection="1">
      <alignment horizontal="left" vertical="top"/>
    </xf>
    <xf numFmtId="0" fontId="54" fillId="0" borderId="0" xfId="2" applyFont="1" applyAlignment="1" applyProtection="1">
      <alignment vertical="top"/>
    </xf>
    <xf numFmtId="49" fontId="54" fillId="0" borderId="0" xfId="2" applyNumberFormat="1" applyFont="1" applyAlignment="1" applyProtection="1">
      <alignment horizontal="right" vertical="top"/>
    </xf>
    <xf numFmtId="0" fontId="57" fillId="0" borderId="0" xfId="2" applyFont="1" applyBorder="1" applyAlignment="1" applyProtection="1">
      <alignment horizontal="center"/>
    </xf>
    <xf numFmtId="2" fontId="57" fillId="0" borderId="0" xfId="2" applyNumberFormat="1" applyFont="1" applyBorder="1" applyProtection="1"/>
    <xf numFmtId="49" fontId="58" fillId="0" borderId="0" xfId="2" applyNumberFormat="1" applyFont="1" applyFill="1" applyAlignment="1" applyProtection="1">
      <alignment horizontal="right" vertical="top"/>
    </xf>
    <xf numFmtId="0" fontId="54" fillId="0" borderId="9" xfId="2" applyFont="1" applyFill="1" applyBorder="1" applyAlignment="1" applyProtection="1">
      <alignment horizontal="left"/>
    </xf>
    <xf numFmtId="0" fontId="54" fillId="0" borderId="0" xfId="2" applyFont="1" applyFill="1" applyBorder="1" applyAlignment="1" applyProtection="1">
      <alignment horizontal="center"/>
    </xf>
    <xf numFmtId="2" fontId="54" fillId="0" borderId="9" xfId="2" applyNumberFormat="1" applyFont="1" applyFill="1" applyBorder="1" applyProtection="1"/>
    <xf numFmtId="2" fontId="57" fillId="0" borderId="0" xfId="2" applyNumberFormat="1" applyFont="1" applyFill="1" applyProtection="1"/>
    <xf numFmtId="0" fontId="13" fillId="0" borderId="0" xfId="0" applyFont="1"/>
    <xf numFmtId="0" fontId="22" fillId="0" borderId="0" xfId="0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0" fontId="57" fillId="0" borderId="0" xfId="0" applyFont="1" applyProtection="1"/>
    <xf numFmtId="0" fontId="60" fillId="0" borderId="0" xfId="0" applyFont="1" applyAlignment="1" applyProtection="1">
      <alignment vertical="center" wrapText="1"/>
    </xf>
    <xf numFmtId="0" fontId="53" fillId="0" borderId="0" xfId="0" applyFont="1" applyProtection="1"/>
    <xf numFmtId="0" fontId="0" fillId="0" borderId="0" xfId="0" applyAlignment="1"/>
    <xf numFmtId="2" fontId="61" fillId="0" borderId="0" xfId="0" applyNumberFormat="1" applyFont="1" applyBorder="1" applyAlignment="1" applyProtection="1">
      <alignment horizontal="right"/>
    </xf>
    <xf numFmtId="2" fontId="55" fillId="0" borderId="0" xfId="0" applyNumberFormat="1" applyFont="1" applyAlignment="1" applyProtection="1">
      <alignment horizontal="center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left" wrapText="1"/>
    </xf>
    <xf numFmtId="0" fontId="13" fillId="0" borderId="0" xfId="0" applyFont="1"/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3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2" fillId="0" borderId="9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45" fillId="0" borderId="0" xfId="0" applyFont="1" applyAlignment="1">
      <alignment horizontal="left" wrapText="1"/>
    </xf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49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49" fillId="0" borderId="6" xfId="0" applyFon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47" fillId="0" borderId="3" xfId="0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0" fillId="0" borderId="0" xfId="0" applyAlignment="1"/>
    <xf numFmtId="49" fontId="22" fillId="0" borderId="0" xfId="0" applyNumberFormat="1" applyFont="1" applyAlignment="1">
      <alignment horizontal="left" vertical="top" wrapText="1"/>
    </xf>
    <xf numFmtId="0" fontId="55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55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2" fontId="55" fillId="0" borderId="0" xfId="0" applyNumberFormat="1" applyFont="1" applyAlignment="1" applyProtection="1">
      <alignment horizontal="center"/>
    </xf>
    <xf numFmtId="0" fontId="59" fillId="0" borderId="0" xfId="0" applyFont="1" applyAlignment="1" applyProtection="1">
      <alignment horizontal="center"/>
    </xf>
    <xf numFmtId="2" fontId="61" fillId="0" borderId="0" xfId="0" applyNumberFormat="1" applyFont="1" applyBorder="1" applyAlignment="1" applyProtection="1">
      <alignment horizontal="right"/>
    </xf>
    <xf numFmtId="0" fontId="55" fillId="0" borderId="0" xfId="2" applyNumberFormat="1" applyFont="1" applyFill="1" applyBorder="1" applyAlignment="1" applyProtection="1">
      <alignment horizontal="left" vertical="top"/>
    </xf>
    <xf numFmtId="0" fontId="55" fillId="0" borderId="0" xfId="2" applyNumberFormat="1" applyFont="1" applyFill="1" applyBorder="1" applyAlignment="1" applyProtection="1">
      <alignment horizontal="left" vertical="top" wrapText="1"/>
    </xf>
    <xf numFmtId="0" fontId="55" fillId="0" borderId="0" xfId="2" applyNumberFormat="1" applyFont="1" applyFill="1" applyBorder="1" applyAlignment="1" applyProtection="1">
      <alignment horizontal="justify" vertical="top"/>
    </xf>
    <xf numFmtId="0" fontId="55" fillId="3" borderId="0" xfId="2" applyFont="1" applyFill="1" applyBorder="1" applyAlignment="1" applyProtection="1">
      <alignment horizontal="left"/>
      <protection locked="0"/>
    </xf>
    <xf numFmtId="0" fontId="55" fillId="3" borderId="0" xfId="2" applyFont="1" applyFill="1" applyBorder="1" applyAlignment="1" applyProtection="1">
      <alignment horizontal="left" wrapText="1"/>
      <protection locked="0"/>
    </xf>
    <xf numFmtId="0" fontId="56" fillId="3" borderId="0" xfId="0" applyFont="1" applyFill="1" applyAlignment="1">
      <alignment horizontal="left" vertical="center" wrapText="1"/>
    </xf>
    <xf numFmtId="49" fontId="55" fillId="3" borderId="0" xfId="0" applyNumberFormat="1" applyFont="1" applyFill="1" applyBorder="1" applyAlignment="1" applyProtection="1">
      <alignment horizontal="left" wrapText="1"/>
      <protection locked="0"/>
    </xf>
    <xf numFmtId="49" fontId="0" fillId="3" borderId="0" xfId="0" applyNumberFormat="1" applyFill="1" applyAlignment="1">
      <alignment wrapText="1"/>
    </xf>
    <xf numFmtId="0" fontId="62" fillId="3" borderId="0" xfId="2" applyFont="1" applyFill="1" applyBorder="1" applyAlignment="1" applyProtection="1">
      <alignment horizontal="left" wrapText="1"/>
      <protection locked="0"/>
    </xf>
    <xf numFmtId="0" fontId="52" fillId="0" borderId="0" xfId="0" applyFont="1" applyAlignment="1">
      <alignment horizontal="right" vertical="top" wrapText="1"/>
    </xf>
    <xf numFmtId="0" fontId="52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4" fontId="22" fillId="0" borderId="4" xfId="0" applyNumberFormat="1" applyFont="1" applyFill="1" applyBorder="1" applyAlignment="1">
      <alignment horizontal="center" shrinkToFit="1"/>
    </xf>
    <xf numFmtId="4" fontId="22" fillId="0" borderId="7" xfId="0" applyNumberFormat="1" applyFont="1" applyFill="1" applyBorder="1" applyAlignment="1">
      <alignment horizontal="center" shrinkToFit="1"/>
    </xf>
    <xf numFmtId="0" fontId="45" fillId="0" borderId="0" xfId="0" applyFont="1" applyAlignment="1">
      <alignment horizontal="left" vertical="top" wrapText="1"/>
    </xf>
    <xf numFmtId="49" fontId="1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4" fontId="22" fillId="0" borderId="2" xfId="0" applyNumberFormat="1" applyFont="1" applyFill="1" applyBorder="1" applyAlignment="1">
      <alignment horizontal="center" shrinkToFit="1"/>
    </xf>
    <xf numFmtId="4" fontId="22" fillId="0" borderId="8" xfId="0" applyNumberFormat="1" applyFont="1" applyFill="1" applyBorder="1" applyAlignment="1">
      <alignment horizontal="center" shrinkToFit="1"/>
    </xf>
    <xf numFmtId="4" fontId="22" fillId="0" borderId="38" xfId="0" applyNumberFormat="1" applyFont="1" applyFill="1" applyBorder="1" applyAlignment="1">
      <alignment horizontal="center" shrinkToFit="1"/>
    </xf>
    <xf numFmtId="4" fontId="22" fillId="0" borderId="39" xfId="0" applyNumberFormat="1" applyFont="1" applyFill="1" applyBorder="1" applyAlignment="1">
      <alignment horizontal="center" shrinkToFit="1"/>
    </xf>
    <xf numFmtId="49" fontId="12" fillId="0" borderId="2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5" fillId="0" borderId="0" xfId="0" applyFont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4" fillId="0" borderId="0" xfId="0" applyFont="1" applyAlignment="1">
      <alignment horizontal="right" vertical="top"/>
    </xf>
    <xf numFmtId="49" fontId="13" fillId="0" borderId="2" xfId="0" applyNumberFormat="1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14" fontId="13" fillId="0" borderId="2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49" fontId="12" fillId="0" borderId="4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14" fillId="0" borderId="9" xfId="0" applyNumberFormat="1" applyFont="1" applyBorder="1" applyAlignment="1">
      <alignment horizontal="right" shrinkToFit="1"/>
    </xf>
    <xf numFmtId="0" fontId="14" fillId="0" borderId="1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0" fillId="0" borderId="1" xfId="0" applyBorder="1" applyAlignment="1"/>
    <xf numFmtId="0" fontId="0" fillId="0" borderId="36" xfId="0" applyBorder="1" applyAlignment="1"/>
    <xf numFmtId="0" fontId="0" fillId="0" borderId="37" xfId="0" applyBorder="1" applyAlignment="1"/>
    <xf numFmtId="0" fontId="12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3" fontId="37" fillId="0" borderId="33" xfId="0" applyNumberFormat="1" applyFont="1" applyBorder="1" applyAlignment="1">
      <alignment vertical="top" shrinkToFit="1"/>
    </xf>
    <xf numFmtId="3" fontId="37" fillId="0" borderId="34" xfId="0" applyNumberFormat="1" applyFont="1" applyBorder="1" applyAlignment="1">
      <alignment vertical="top" shrinkToFit="1"/>
    </xf>
    <xf numFmtId="3" fontId="37" fillId="0" borderId="35" xfId="0" applyNumberFormat="1" applyFont="1" applyBorder="1" applyAlignment="1">
      <alignment vertical="top" shrinkToFit="1"/>
    </xf>
    <xf numFmtId="3" fontId="18" fillId="0" borderId="20" xfId="0" applyNumberFormat="1" applyFont="1" applyBorder="1" applyAlignment="1">
      <alignment vertical="top" shrinkToFit="1"/>
    </xf>
    <xf numFmtId="3" fontId="18" fillId="0" borderId="19" xfId="0" applyNumberFormat="1" applyFont="1" applyBorder="1" applyAlignment="1">
      <alignment vertical="top" shrinkToFit="1"/>
    </xf>
    <xf numFmtId="3" fontId="18" fillId="0" borderId="21" xfId="0" applyNumberFormat="1" applyFont="1" applyBorder="1" applyAlignment="1">
      <alignment vertical="top" shrinkToFit="1"/>
    </xf>
    <xf numFmtId="0" fontId="44" fillId="0" borderId="3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79;.%201%20(&#1046;&#1050;%20&#1044;&#1080;&#1085;&#1072;&#1089;&#1090;&#1080;&#1103;)/&#1058;&#1045;&#1053;&#1044;&#1045;&#1056;/&#1073;&#1083;-&#1074;&#1086;%20&#1090;&#1077;&#1085;&#1076;&#1077;&#1088;/6.1.5.1.3%20&#1054;&#1075;&#1088;&#1072;&#1078;&#1076;&#1077;&#1085;&#1080;&#1077;%20&#1089;&#1087;&#1086;&#1088;&#1090;&#1080;&#1074;&#1085;&#1086;&#1081;%20&#1087;&#1083;&#1086;&#1097;&#1072;&#1076;&#1082;&#1080;%20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79;.%201%20(&#1046;&#1050;%20&#1044;&#1080;&#1085;&#1072;&#1089;&#1090;&#1080;&#1103;)/&#1058;&#1045;&#1053;&#1044;&#1045;&#1056;/&#1073;&#1083;-&#1074;&#1086;%20&#1090;&#1077;&#1085;&#1076;&#1077;&#1088;/6.2.1.1.3%20&#1055;&#1088;&#1086;&#1077;&#1079;&#1076;&#1099;%20&#1080;%20&#1087;&#1083;&#1086;&#1097;&#1072;&#1076;&#1082;&#1080;%20&#1087;&#1086;&#1079;.1%20&#10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79;.%201%20(&#1046;&#1050;%20&#1044;&#1080;&#1085;&#1072;&#1089;&#1090;&#1080;&#1103;)/&#1058;&#1045;&#1053;&#1044;&#1045;&#1056;/&#1073;&#1083;-&#1074;&#1086;%20&#1090;&#1077;&#1085;&#1076;&#1077;&#1088;/6.2.1.1.4%20&#1055;&#1088;&#1086;&#1077;&#1079;&#1076;&#1099;%20&#1080;%20&#1087;&#1083;&#1086;&#1097;&#1072;&#1076;&#1082;&#1080;,%20&#1090;&#1088;&#1086;&#1090;&#1091;&#1072;&#1088;&#1099;%20&#1087;&#1086;&#1079;.1%20&#1042;&#1085;&#1077;&#1087;&#1083;&#1086;&#1097;&#1072;&#1076;&#1086;&#1095;&#1085;&#1086;&#1077;%20&#109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79;.%201%20(&#1046;&#1050;%20&#1044;&#1080;&#1085;&#1072;&#1089;&#1090;&#1080;&#1103;)/&#1058;&#1045;&#1053;&#1044;&#1045;&#1056;/&#1073;&#1083;-&#1074;&#1086;%20&#1090;&#1077;&#1085;&#1076;&#1077;&#1088;/6.2.1.2.3%20&#1056;&#1072;&#1079;&#1084;&#1077;&#1090;&#1082;&#1072;%20&#1089;&#1090;&#1086;&#1103;&#1085;&#1086;&#1082;%20&#1080;%20%20&#1084;&#1086;&#1085;&#1090;&#1072;&#1078;%20&#1076;&#1086;&#1088;&#1086;&#1078;&#1085;&#1099;&#1093;%20&#1079;&#1085;&#1072;&#1082;&#1086;&#1074;,%20&#1087;&#1086;&#1079;.1%20&#10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79;.%201%20(&#1046;&#1050;%20&#1044;&#1080;&#1085;&#1072;&#1089;&#1090;&#1080;&#1103;)/&#1058;&#1045;&#1053;&#1044;&#1045;&#1056;/&#1073;&#1083;-&#1074;&#1086;%20&#1090;&#1077;&#1085;&#1076;&#1077;&#1088;/6.2.2.1.3%20&#1059;&#1089;&#1090;&#1088;&#1086;&#1081;&#1089;&#1090;&#1074;&#1086;%20&#1087;&#1088;&#1080;&#1076;&#1086;&#1084;&#1086;&#1074;&#1099;&#1093;%20&#1090;&#1088;&#1086;&#1090;&#1091;&#1072;&#1088;&#1086;&#1074;%20&#1080;%20&#1087;&#1083;&#1086;&#1097;&#1072;&#1076;&#1086;&#1082;%20&#1087;&#1086;&#1079;.1%20&#109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79;.%201%20(&#1046;&#1050;%20&#1044;&#1080;&#1085;&#1072;&#1089;&#1090;&#1080;&#1103;)/&#1058;&#1045;&#1053;&#1044;&#1045;&#1056;/&#1073;&#1083;-&#1074;&#1086;%20&#1090;&#1077;&#1085;&#1076;&#1077;&#1088;/6.2.3.1%20%20&#1042;&#1086;&#1076;&#1086;&#1086;&#1090;&#1074;&#1086;&#1076;&#1085;&#1099;&#1077;%20&#1089;&#1086;&#1086;&#1088;&#1091;&#1078;&#1077;&#1085;&#1080;&#1103;%20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Ведомость_списания"/>
      <sheetName val="4.Ресурсный_расчет"/>
      <sheetName val="3.Материалы"/>
      <sheetName val="2.Лок.смета.и.Акт в Ер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7">
          <cell r="I27">
            <v>2.0799999999999998E-3</v>
          </cell>
        </row>
        <row r="33">
          <cell r="I33">
            <v>2.9577</v>
          </cell>
        </row>
        <row r="35">
          <cell r="I35">
            <v>0.94091599999999997</v>
          </cell>
        </row>
        <row r="37">
          <cell r="I37">
            <v>3.1199999999999999E-2</v>
          </cell>
        </row>
        <row r="39">
          <cell r="I39">
            <v>0.91950399999999999</v>
          </cell>
        </row>
        <row r="41">
          <cell r="I41">
            <v>0.34239000000000003</v>
          </cell>
        </row>
        <row r="43">
          <cell r="I43">
            <v>7.2999999999999982E-2</v>
          </cell>
        </row>
        <row r="45">
          <cell r="I45">
            <v>0.34821000000000002</v>
          </cell>
        </row>
        <row r="47">
          <cell r="I47">
            <v>1.9793600000000002</v>
          </cell>
        </row>
        <row r="53">
          <cell r="I53">
            <v>3.3709999999999997E-2</v>
          </cell>
        </row>
        <row r="55">
          <cell r="I55">
            <v>3.4849999999999999E-2</v>
          </cell>
        </row>
        <row r="57">
          <cell r="I57">
            <v>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Ведомость_списания"/>
      <sheetName val="4.Ресурсный_расчет"/>
      <sheetName val="3.Материалы"/>
      <sheetName val="2.Лок.смета.и.Акт в Ер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30">
          <cell r="I30">
            <v>1360.8979999999999</v>
          </cell>
        </row>
        <row r="36">
          <cell r="I36">
            <v>3445.6800000000003</v>
          </cell>
        </row>
        <row r="90">
          <cell r="I90">
            <v>633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Ведомость_списания"/>
      <sheetName val="4.Ресурсный_расчет"/>
      <sheetName val="3.Материалы"/>
      <sheetName val="2.Лок.смета.и.Акт в Ер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34">
          <cell r="I34">
            <v>165.74250000000001</v>
          </cell>
        </row>
        <row r="40">
          <cell r="I40">
            <v>412.125</v>
          </cell>
        </row>
        <row r="94">
          <cell r="I94">
            <v>95</v>
          </cell>
        </row>
        <row r="165">
          <cell r="I165">
            <v>122.91</v>
          </cell>
        </row>
        <row r="189">
          <cell r="I189">
            <v>96</v>
          </cell>
        </row>
        <row r="232">
          <cell r="I232">
            <v>25.83</v>
          </cell>
        </row>
        <row r="246">
          <cell r="I246">
            <v>329.26</v>
          </cell>
        </row>
        <row r="299">
          <cell r="I299">
            <v>1.7176E-2</v>
          </cell>
        </row>
        <row r="309">
          <cell r="I309">
            <v>11.933999999999999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Ведомость_списания"/>
      <sheetName val="4.Ресурсный_расчет"/>
      <sheetName val="3.Материалы"/>
      <sheetName val="2.Лок.смета.и.Акт в Ер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8">
          <cell r="I28">
            <v>5.1699999999999999E-4</v>
          </cell>
        </row>
        <row r="42">
          <cell r="I42">
            <v>2</v>
          </cell>
        </row>
        <row r="46">
          <cell r="I46">
            <v>2</v>
          </cell>
        </row>
        <row r="50">
          <cell r="I50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Ведомость_списания"/>
      <sheetName val="4.Ресурсный_расчет"/>
      <sheetName val="5.Материалы"/>
      <sheetName val="2.Лок.смета.и.Акт в Ер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35">
          <cell r="I35">
            <v>28.655000000000001</v>
          </cell>
        </row>
        <row r="57">
          <cell r="I57">
            <v>265.70999999999998</v>
          </cell>
        </row>
        <row r="81">
          <cell r="I81">
            <v>2120</v>
          </cell>
        </row>
        <row r="144">
          <cell r="I144">
            <v>762.5</v>
          </cell>
        </row>
        <row r="213">
          <cell r="I213">
            <v>1294.8900000000001</v>
          </cell>
        </row>
        <row r="286">
          <cell r="I286">
            <v>99.450000000000017</v>
          </cell>
        </row>
        <row r="548">
          <cell r="I548">
            <v>1.0569599999999999</v>
          </cell>
        </row>
        <row r="552">
          <cell r="I552">
            <v>360</v>
          </cell>
        </row>
        <row r="554">
          <cell r="I554">
            <v>26522.639999999999</v>
          </cell>
        </row>
        <row r="556">
          <cell r="I556">
            <v>6300</v>
          </cell>
        </row>
        <row r="558">
          <cell r="I558">
            <v>7508.5200000000013</v>
          </cell>
        </row>
        <row r="560">
          <cell r="I560">
            <v>241.05600000000004</v>
          </cell>
        </row>
        <row r="637">
          <cell r="I637">
            <v>0.30754599999999999</v>
          </cell>
        </row>
        <row r="641">
          <cell r="I641">
            <v>104.75</v>
          </cell>
        </row>
        <row r="643">
          <cell r="I643">
            <v>13505.365125</v>
          </cell>
        </row>
        <row r="645">
          <cell r="I645">
            <v>2933</v>
          </cell>
        </row>
        <row r="647">
          <cell r="I647">
            <v>2184.7707500000001</v>
          </cell>
        </row>
        <row r="649">
          <cell r="I649">
            <v>70.140600000000006</v>
          </cell>
        </row>
        <row r="726">
          <cell r="I726">
            <v>0.439666</v>
          </cell>
        </row>
        <row r="730">
          <cell r="I730">
            <v>149.75</v>
          </cell>
        </row>
        <row r="732">
          <cell r="I732">
            <v>33098.224199999997</v>
          </cell>
        </row>
        <row r="734">
          <cell r="I734">
            <v>6813.625</v>
          </cell>
        </row>
        <row r="736">
          <cell r="I736">
            <v>3123.3357500000006</v>
          </cell>
        </row>
        <row r="738">
          <cell r="I738">
            <v>100.2726</v>
          </cell>
        </row>
        <row r="793">
          <cell r="I793">
            <v>307.96499999999997</v>
          </cell>
        </row>
        <row r="795">
          <cell r="I795">
            <v>320.53500000000003</v>
          </cell>
        </row>
        <row r="797">
          <cell r="I797">
            <v>293.06460700000002</v>
          </cell>
        </row>
        <row r="799">
          <cell r="I799">
            <v>10.592696999999999</v>
          </cell>
        </row>
        <row r="803">
          <cell r="I803">
            <v>7.5419999999999998</v>
          </cell>
        </row>
        <row r="844">
          <cell r="I844">
            <v>4.9349999999999996</v>
          </cell>
        </row>
        <row r="856">
          <cell r="I856">
            <v>4.9349999999999996</v>
          </cell>
        </row>
        <row r="860">
          <cell r="I860">
            <v>8.1780000000000008</v>
          </cell>
        </row>
        <row r="866">
          <cell r="I866">
            <v>94</v>
          </cell>
        </row>
        <row r="870">
          <cell r="I870">
            <v>27.27</v>
          </cell>
        </row>
        <row r="911">
          <cell r="I911">
            <v>0.99750000000000016</v>
          </cell>
        </row>
        <row r="925">
          <cell r="I925">
            <v>13.13</v>
          </cell>
        </row>
        <row r="1045">
          <cell r="I1045">
            <v>0.54095800000000005</v>
          </cell>
        </row>
        <row r="1055">
          <cell r="I1055">
            <v>375.87</v>
          </cell>
        </row>
        <row r="1120">
          <cell r="I1120">
            <v>3.5598999999999999E-2</v>
          </cell>
        </row>
        <row r="1130">
          <cell r="I1130">
            <v>24.734999999999999</v>
          </cell>
        </row>
        <row r="1195">
          <cell r="I1195">
            <v>5.4755999999999999E-2</v>
          </cell>
        </row>
        <row r="1207">
          <cell r="I1207">
            <v>3.06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Ведомость_списания"/>
      <sheetName val="4.Ресурсный_расчет"/>
      <sheetName val="6.Материалы"/>
      <sheetName val="2.Лок.смета.и.Актв Ер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9">
          <cell r="I29">
            <v>9.7249999999999996</v>
          </cell>
        </row>
        <row r="77">
          <cell r="I77">
            <v>244.32</v>
          </cell>
        </row>
        <row r="83">
          <cell r="I83">
            <v>8</v>
          </cell>
        </row>
        <row r="85">
          <cell r="I85">
            <v>8</v>
          </cell>
        </row>
        <row r="87">
          <cell r="I87">
            <v>9</v>
          </cell>
        </row>
        <row r="89">
          <cell r="I89">
            <v>9</v>
          </cell>
        </row>
        <row r="91">
          <cell r="I91">
            <v>9</v>
          </cell>
        </row>
        <row r="93">
          <cell r="I93">
            <v>9</v>
          </cell>
        </row>
        <row r="95">
          <cell r="I95">
            <v>9</v>
          </cell>
        </row>
        <row r="97">
          <cell r="I97">
            <v>9</v>
          </cell>
        </row>
        <row r="99">
          <cell r="I99">
            <v>9</v>
          </cell>
        </row>
        <row r="101">
          <cell r="I101">
            <v>1</v>
          </cell>
        </row>
        <row r="103">
          <cell r="I103">
            <v>1</v>
          </cell>
        </row>
        <row r="105">
          <cell r="I105">
            <v>1</v>
          </cell>
        </row>
        <row r="107">
          <cell r="I107">
            <v>40</v>
          </cell>
        </row>
        <row r="109">
          <cell r="I109">
            <v>4</v>
          </cell>
        </row>
        <row r="121">
          <cell r="I121">
            <v>159</v>
          </cell>
        </row>
        <row r="123">
          <cell r="I123">
            <v>159</v>
          </cell>
        </row>
        <row r="125">
          <cell r="I125">
            <v>80</v>
          </cell>
        </row>
        <row r="127">
          <cell r="I127">
            <v>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50"/>
  <sheetViews>
    <sheetView workbookViewId="0">
      <selection sqref="A1:K1"/>
    </sheetView>
  </sheetViews>
  <sheetFormatPr defaultRowHeight="12.75" x14ac:dyDescent="0.2"/>
  <cols>
    <col min="1" max="1" width="7.7109375" customWidth="1"/>
    <col min="2" max="2" width="10.7109375" customWidth="1"/>
    <col min="3" max="3" width="36.7109375" customWidth="1"/>
    <col min="4" max="4" width="9.7109375" customWidth="1"/>
    <col min="5" max="5" width="8.7109375" customWidth="1"/>
    <col min="6" max="11" width="9.7109375" customWidth="1"/>
    <col min="15" max="69" width="0" hidden="1" customWidth="1"/>
    <col min="70" max="70" width="108.7109375" hidden="1" customWidth="1"/>
    <col min="71" max="71" width="118.7109375" hidden="1" customWidth="1"/>
    <col min="72" max="72" width="0" hidden="1" customWidth="1"/>
    <col min="73" max="73" width="125.7109375" hidden="1" customWidth="1"/>
    <col min="74" max="76" width="0" hidden="1" customWidth="1"/>
    <col min="77" max="77" width="37.7109375" hidden="1" customWidth="1"/>
    <col min="78" max="78" width="19.7109375" hidden="1" customWidth="1"/>
    <col min="79" max="79" width="37.7109375" hidden="1" customWidth="1"/>
    <col min="80" max="256" width="0" hidden="1" customWidth="1"/>
  </cols>
  <sheetData>
    <row r="1" spans="1:255" s="15" customFormat="1" ht="11.25" x14ac:dyDescent="0.2">
      <c r="A1" s="268" t="s">
        <v>300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255" x14ac:dyDescent="0.2">
      <c r="H2" s="269" t="s">
        <v>497</v>
      </c>
      <c r="I2" s="269"/>
      <c r="J2" s="269"/>
      <c r="K2" s="269"/>
    </row>
    <row r="3" spans="1:255" x14ac:dyDescent="0.2">
      <c r="H3" s="269"/>
      <c r="I3" s="269"/>
      <c r="J3" s="269"/>
      <c r="K3" s="269"/>
      <c r="CA3" s="22">
        <f>H3</f>
        <v>0</v>
      </c>
      <c r="IU3" s="23"/>
    </row>
    <row r="4" spans="1:255" x14ac:dyDescent="0.2">
      <c r="H4" s="269"/>
      <c r="I4" s="269"/>
      <c r="J4" s="269"/>
      <c r="K4" s="269"/>
      <c r="CA4" s="22">
        <f>H4</f>
        <v>0</v>
      </c>
      <c r="IU4" s="23"/>
    </row>
    <row r="5" spans="1:255" x14ac:dyDescent="0.2">
      <c r="H5" s="269"/>
      <c r="I5" s="269"/>
      <c r="J5" s="269"/>
      <c r="K5" s="269"/>
    </row>
    <row r="6" spans="1:255" x14ac:dyDescent="0.2">
      <c r="H6" s="269" t="s">
        <v>498</v>
      </c>
      <c r="I6" s="269"/>
      <c r="J6" s="269"/>
      <c r="K6" s="269"/>
    </row>
    <row r="7" spans="1:255" x14ac:dyDescent="0.2">
      <c r="H7" s="269"/>
      <c r="I7" s="269"/>
      <c r="J7" s="269"/>
      <c r="K7" s="269"/>
      <c r="CA7" s="22">
        <f>H7</f>
        <v>0</v>
      </c>
      <c r="IU7" s="23"/>
    </row>
    <row r="8" spans="1:255" x14ac:dyDescent="0.2">
      <c r="H8" s="269" t="s">
        <v>499</v>
      </c>
      <c r="I8" s="269"/>
      <c r="J8" s="269"/>
      <c r="K8" s="269"/>
    </row>
    <row r="11" spans="1:255" x14ac:dyDescent="0.2">
      <c r="A11" s="20" t="s">
        <v>307</v>
      </c>
      <c r="B11" s="19"/>
      <c r="C11" s="270"/>
      <c r="D11" s="271"/>
      <c r="E11" s="271"/>
      <c r="F11" s="271"/>
      <c r="G11" s="271"/>
      <c r="H11" s="271"/>
      <c r="I11" s="271"/>
      <c r="J11" s="271"/>
      <c r="K11" s="271"/>
      <c r="BR11" s="22">
        <f>C11</f>
        <v>0</v>
      </c>
      <c r="IU11" s="23"/>
    </row>
    <row r="12" spans="1:255" x14ac:dyDescent="0.2">
      <c r="A12" s="20" t="s">
        <v>309</v>
      </c>
      <c r="B12" s="19"/>
      <c r="C12" s="272"/>
      <c r="D12" s="273"/>
      <c r="E12" s="273"/>
      <c r="F12" s="273"/>
      <c r="G12" s="273"/>
      <c r="H12" s="273"/>
      <c r="I12" s="273"/>
      <c r="J12" s="273"/>
      <c r="K12" s="273"/>
      <c r="BR12" s="22">
        <f>C12</f>
        <v>0</v>
      </c>
      <c r="IU12" s="23"/>
    </row>
    <row r="13" spans="1:255" x14ac:dyDescent="0.2">
      <c r="A13" s="20" t="s">
        <v>310</v>
      </c>
      <c r="B13" s="19"/>
      <c r="C13" s="272"/>
      <c r="D13" s="273"/>
      <c r="E13" s="273"/>
      <c r="F13" s="273"/>
      <c r="G13" s="273"/>
      <c r="H13" s="273"/>
      <c r="I13" s="273"/>
      <c r="J13" s="273"/>
      <c r="K13" s="273"/>
      <c r="BR13" s="22">
        <f>C13</f>
        <v>0</v>
      </c>
      <c r="IU13" s="23"/>
    </row>
    <row r="14" spans="1:255" x14ac:dyDescent="0.2">
      <c r="A14" s="20" t="s">
        <v>311</v>
      </c>
      <c r="B14" s="19"/>
      <c r="C14" s="266"/>
      <c r="D14" s="267"/>
      <c r="E14" s="267"/>
      <c r="F14" s="267"/>
      <c r="G14" s="267"/>
      <c r="H14" s="267"/>
      <c r="I14" s="267"/>
      <c r="J14" s="267"/>
      <c r="K14" s="267"/>
      <c r="BR14" s="22">
        <f>C14</f>
        <v>0</v>
      </c>
      <c r="IU14" s="23"/>
    </row>
    <row r="15" spans="1:255" x14ac:dyDescent="0.2">
      <c r="A15" s="275"/>
      <c r="B15" s="275"/>
      <c r="C15" s="275"/>
      <c r="D15" s="275"/>
      <c r="E15" s="275"/>
      <c r="F15" s="275"/>
      <c r="G15" s="275"/>
      <c r="H15" s="275"/>
      <c r="I15" s="275"/>
      <c r="J15" s="275"/>
      <c r="K15" s="275"/>
    </row>
    <row r="16" spans="1:255" ht="18.75" x14ac:dyDescent="0.3">
      <c r="A16" s="276" t="s">
        <v>500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6"/>
    </row>
    <row r="17" spans="1:255" x14ac:dyDescent="0.2">
      <c r="A17" s="277" t="s">
        <v>501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255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255" ht="31.5" x14ac:dyDescent="0.25">
      <c r="A19" s="14" t="s">
        <v>313</v>
      </c>
      <c r="B19" s="278" t="s">
        <v>4</v>
      </c>
      <c r="C19" s="278"/>
      <c r="D19" s="278"/>
      <c r="E19" s="278"/>
      <c r="F19" s="278"/>
      <c r="G19" s="278"/>
      <c r="H19" s="278"/>
      <c r="I19" s="278"/>
      <c r="J19" s="278"/>
      <c r="K19" s="278"/>
      <c r="BS19" s="181" t="str">
        <f>B19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IU19" s="23"/>
    </row>
    <row r="21" spans="1:255" x14ac:dyDescent="0.2">
      <c r="A21" s="182" t="s">
        <v>450</v>
      </c>
      <c r="B21" s="182" t="s">
        <v>452</v>
      </c>
      <c r="C21" s="182" t="s">
        <v>455</v>
      </c>
      <c r="D21" s="182" t="s">
        <v>457</v>
      </c>
      <c r="E21" s="182" t="s">
        <v>503</v>
      </c>
      <c r="F21" s="279" t="s">
        <v>505</v>
      </c>
      <c r="G21" s="280"/>
      <c r="H21" s="280"/>
      <c r="I21" s="182" t="s">
        <v>510</v>
      </c>
      <c r="J21" s="182"/>
      <c r="K21" s="183" t="s">
        <v>513</v>
      </c>
    </row>
    <row r="22" spans="1:255" x14ac:dyDescent="0.2">
      <c r="A22" s="184" t="s">
        <v>451</v>
      </c>
      <c r="B22" s="184" t="s">
        <v>453</v>
      </c>
      <c r="C22" s="184" t="s">
        <v>502</v>
      </c>
      <c r="D22" s="184" t="s">
        <v>458</v>
      </c>
      <c r="E22" s="184" t="s">
        <v>504</v>
      </c>
      <c r="F22" s="182" t="s">
        <v>506</v>
      </c>
      <c r="G22" s="182" t="s">
        <v>508</v>
      </c>
      <c r="H22" s="182" t="s">
        <v>509</v>
      </c>
      <c r="I22" s="184" t="s">
        <v>511</v>
      </c>
      <c r="J22" s="184" t="s">
        <v>512</v>
      </c>
      <c r="K22" s="185" t="s">
        <v>514</v>
      </c>
    </row>
    <row r="23" spans="1:255" x14ac:dyDescent="0.2">
      <c r="A23" s="184"/>
      <c r="B23" s="184" t="s">
        <v>454</v>
      </c>
      <c r="C23" s="184"/>
      <c r="D23" s="184" t="s">
        <v>459</v>
      </c>
      <c r="E23" s="184"/>
      <c r="F23" s="184" t="s">
        <v>507</v>
      </c>
      <c r="G23" s="184"/>
      <c r="H23" s="184"/>
      <c r="I23" s="184"/>
      <c r="J23" s="184"/>
      <c r="K23" s="185" t="s">
        <v>515</v>
      </c>
    </row>
    <row r="24" spans="1:255" x14ac:dyDescent="0.2">
      <c r="A24" s="182">
        <v>1</v>
      </c>
      <c r="B24" s="182">
        <v>2</v>
      </c>
      <c r="C24" s="182">
        <v>3</v>
      </c>
      <c r="D24" s="182">
        <v>4</v>
      </c>
      <c r="E24" s="182">
        <v>5</v>
      </c>
      <c r="F24" s="182">
        <v>6</v>
      </c>
      <c r="G24" s="182">
        <v>7</v>
      </c>
      <c r="H24" s="182">
        <v>8</v>
      </c>
      <c r="I24" s="182">
        <v>9</v>
      </c>
      <c r="J24" s="182">
        <v>10</v>
      </c>
      <c r="K24" s="183">
        <v>11</v>
      </c>
    </row>
    <row r="25" spans="1:255" ht="15" x14ac:dyDescent="0.25">
      <c r="A25" s="281" t="s">
        <v>516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3"/>
      <c r="BU25" s="210" t="str">
        <f>A25</f>
        <v>Смета: Разметка стоянок и монтаж дорожных знаков</v>
      </c>
      <c r="IU25" s="23"/>
    </row>
    <row r="26" spans="1:255" ht="15" x14ac:dyDescent="0.25">
      <c r="A26" s="284" t="s">
        <v>21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BU26" s="210" t="str">
        <f>A26</f>
        <v>Организация дорожного движения</v>
      </c>
      <c r="IU26" s="23"/>
    </row>
    <row r="27" spans="1:255" ht="36" x14ac:dyDescent="0.2">
      <c r="A27" s="212" t="s">
        <v>22</v>
      </c>
      <c r="B27" s="213" t="s">
        <v>23</v>
      </c>
      <c r="C27" s="213" t="s">
        <v>24</v>
      </c>
      <c r="D27" s="213" t="s">
        <v>25</v>
      </c>
      <c r="E27" s="214">
        <f>Source!I26</f>
        <v>0.64600000000000002</v>
      </c>
      <c r="F27" s="214"/>
      <c r="G27" s="214"/>
      <c r="H27" s="214"/>
      <c r="I27" s="214"/>
      <c r="J27" s="215"/>
      <c r="K27" s="215"/>
    </row>
    <row r="28" spans="1:255" ht="24" x14ac:dyDescent="0.2">
      <c r="A28" s="216"/>
      <c r="B28" s="199" t="s">
        <v>31</v>
      </c>
      <c r="C28" s="217" t="s">
        <v>32</v>
      </c>
      <c r="D28" s="199" t="s">
        <v>33</v>
      </c>
      <c r="E28" s="218"/>
      <c r="F28" s="218">
        <v>8.0030959752321973E-4</v>
      </c>
      <c r="G28" s="218">
        <f>F28*E27</f>
        <v>5.1699999999999999E-4</v>
      </c>
      <c r="H28" s="218">
        <f>G28</f>
        <v>5.1699999999999999E-4</v>
      </c>
      <c r="I28" s="219" t="str">
        <f>IF(AND((G28-H28)&lt;0,H28&gt;0),ABS(G28-H28)," ")</f>
        <v xml:space="preserve"> </v>
      </c>
      <c r="J28" s="220" t="str">
        <f>IF(AND((G28-H28)&gt;0, H28&gt;0),G28-H28," ")</f>
        <v xml:space="preserve"> </v>
      </c>
      <c r="K28" s="220"/>
    </row>
    <row r="29" spans="1:255" x14ac:dyDescent="0.2">
      <c r="A29" s="216"/>
      <c r="B29" s="199" t="s">
        <v>42</v>
      </c>
      <c r="C29" s="217" t="s">
        <v>43</v>
      </c>
      <c r="D29" s="199" t="s">
        <v>33</v>
      </c>
      <c r="E29" s="218"/>
      <c r="F29" s="218">
        <v>4.1999999999999996E-2</v>
      </c>
      <c r="G29" s="218">
        <f>F29*E27</f>
        <v>2.7131999999999996E-2</v>
      </c>
      <c r="H29" s="218">
        <f>G29</f>
        <v>2.7131999999999996E-2</v>
      </c>
      <c r="I29" s="219" t="str">
        <f>IF(AND((G29-H29)&lt;0,H29&gt;0),ABS(G29-H29)," ")</f>
        <v xml:space="preserve"> </v>
      </c>
      <c r="J29" s="220" t="str">
        <f>IF(AND((G29-H29)&gt;0, H29&gt;0),G29-H29," ")</f>
        <v xml:space="preserve"> </v>
      </c>
      <c r="K29" s="220"/>
    </row>
    <row r="30" spans="1:255" ht="24" x14ac:dyDescent="0.2">
      <c r="A30" s="212" t="s">
        <v>40</v>
      </c>
      <c r="B30" s="213" t="s">
        <v>46</v>
      </c>
      <c r="C30" s="213" t="s">
        <v>47</v>
      </c>
      <c r="D30" s="213" t="s">
        <v>25</v>
      </c>
      <c r="E30" s="214">
        <f>Source!I32</f>
        <v>3.7499999999999999E-2</v>
      </c>
      <c r="F30" s="214"/>
      <c r="G30" s="214"/>
      <c r="H30" s="214"/>
      <c r="I30" s="214"/>
      <c r="J30" s="215"/>
      <c r="K30" s="215"/>
    </row>
    <row r="31" spans="1:255" ht="24" x14ac:dyDescent="0.2">
      <c r="A31" s="216"/>
      <c r="B31" s="199" t="s">
        <v>31</v>
      </c>
      <c r="C31" s="217" t="s">
        <v>32</v>
      </c>
      <c r="D31" s="199" t="s">
        <v>33</v>
      </c>
      <c r="E31" s="218"/>
      <c r="F31" s="218">
        <v>8.0000000000000004E-4</v>
      </c>
      <c r="G31" s="218">
        <f>F31*E30</f>
        <v>3.0000000000000001E-5</v>
      </c>
      <c r="H31" s="218">
        <f>G31</f>
        <v>3.0000000000000001E-5</v>
      </c>
      <c r="I31" s="219" t="str">
        <f>IF(AND((G31-H31)&lt;0,H31&gt;0),ABS(G31-H31)," ")</f>
        <v xml:space="preserve"> </v>
      </c>
      <c r="J31" s="220" t="str">
        <f>IF(AND((G31-H31)&gt;0, H31&gt;0),G31-H31," ")</f>
        <v xml:space="preserve"> </v>
      </c>
      <c r="K31" s="220"/>
    </row>
    <row r="32" spans="1:255" x14ac:dyDescent="0.2">
      <c r="A32" s="216"/>
      <c r="B32" s="199" t="s">
        <v>42</v>
      </c>
      <c r="C32" s="217" t="s">
        <v>54</v>
      </c>
      <c r="D32" s="199" t="s">
        <v>33</v>
      </c>
      <c r="E32" s="218"/>
      <c r="F32" s="218">
        <v>0.16800000000000001</v>
      </c>
      <c r="G32" s="218">
        <f>F32*E30</f>
        <v>6.3E-3</v>
      </c>
      <c r="H32" s="218">
        <f>G32</f>
        <v>6.3E-3</v>
      </c>
      <c r="I32" s="219" t="str">
        <f>IF(AND((G32-H32)&lt;0,H32&gt;0),ABS(G32-H32)," ")</f>
        <v xml:space="preserve"> </v>
      </c>
      <c r="J32" s="220" t="str">
        <f>IF(AND((G32-H32)&gt;0, H32&gt;0),G32-H32," ")</f>
        <v xml:space="preserve"> </v>
      </c>
      <c r="K32" s="220"/>
    </row>
    <row r="33" spans="1:255" ht="36" x14ac:dyDescent="0.2">
      <c r="A33" s="212" t="s">
        <v>57</v>
      </c>
      <c r="B33" s="213" t="s">
        <v>58</v>
      </c>
      <c r="C33" s="213" t="s">
        <v>59</v>
      </c>
      <c r="D33" s="213" t="s">
        <v>60</v>
      </c>
      <c r="E33" s="214">
        <f>Source!I38</f>
        <v>1.6400000000000001E-2</v>
      </c>
      <c r="F33" s="214"/>
      <c r="G33" s="214"/>
      <c r="H33" s="214"/>
      <c r="I33" s="214"/>
      <c r="J33" s="215"/>
      <c r="K33" s="215"/>
    </row>
    <row r="34" spans="1:255" ht="36" x14ac:dyDescent="0.2">
      <c r="A34" s="216"/>
      <c r="B34" s="199" t="s">
        <v>62</v>
      </c>
      <c r="C34" s="217" t="s">
        <v>63</v>
      </c>
      <c r="D34" s="199" t="s">
        <v>33</v>
      </c>
      <c r="E34" s="218"/>
      <c r="F34" s="218">
        <v>9.1463414634146336E-4</v>
      </c>
      <c r="G34" s="218">
        <f>F34*E33</f>
        <v>1.5E-5</v>
      </c>
      <c r="H34" s="218">
        <f>G34</f>
        <v>1.5E-5</v>
      </c>
      <c r="I34" s="219" t="str">
        <f>IF(AND((G34-H34)&lt;0,H34&gt;0),ABS(G34-H34)," ")</f>
        <v xml:space="preserve"> </v>
      </c>
      <c r="J34" s="220" t="str">
        <f>IF(AND((G34-H34)&gt;0, H34&gt;0),G34-H34," ")</f>
        <v xml:space="preserve"> </v>
      </c>
      <c r="K34" s="220"/>
    </row>
    <row r="35" spans="1:255" x14ac:dyDescent="0.2">
      <c r="A35" s="216"/>
      <c r="B35" s="199" t="s">
        <v>67</v>
      </c>
      <c r="C35" s="217" t="s">
        <v>68</v>
      </c>
      <c r="D35" s="199" t="s">
        <v>69</v>
      </c>
      <c r="E35" s="218"/>
      <c r="F35" s="218">
        <v>121.95121951219511</v>
      </c>
      <c r="G35" s="218">
        <f>F35*E33</f>
        <v>2</v>
      </c>
      <c r="H35" s="218">
        <f>G35</f>
        <v>2</v>
      </c>
      <c r="I35" s="219" t="str">
        <f>IF(AND((G35-H35)&lt;0,H35&gt;0),ABS(G35-H35)," ")</f>
        <v xml:space="preserve"> </v>
      </c>
      <c r="J35" s="220" t="str">
        <f>IF(AND((G35-H35)&gt;0, H35&gt;0),G35-H35," ")</f>
        <v xml:space="preserve"> </v>
      </c>
      <c r="K35" s="220"/>
    </row>
    <row r="36" spans="1:255" ht="24" x14ac:dyDescent="0.2">
      <c r="A36" s="216"/>
      <c r="B36" s="199" t="s">
        <v>73</v>
      </c>
      <c r="C36" s="217" t="s">
        <v>74</v>
      </c>
      <c r="D36" s="199" t="s">
        <v>75</v>
      </c>
      <c r="E36" s="218"/>
      <c r="F36" s="218">
        <v>9.5121951219512191</v>
      </c>
      <c r="G36" s="218">
        <f>F36*E33</f>
        <v>0.156</v>
      </c>
      <c r="H36" s="218">
        <f>G36</f>
        <v>0.156</v>
      </c>
      <c r="I36" s="219" t="str">
        <f>IF(AND((G36-H36)&lt;0,H36&gt;0),ABS(G36-H36)," ")</f>
        <v xml:space="preserve"> </v>
      </c>
      <c r="J36" s="220" t="str">
        <f>IF(AND((G36-H36)&gt;0, H36&gt;0),G36-H36," ")</f>
        <v xml:space="preserve"> </v>
      </c>
      <c r="K36" s="220"/>
    </row>
    <row r="37" spans="1:255" ht="84" x14ac:dyDescent="0.2">
      <c r="A37" s="216"/>
      <c r="B37" s="199" t="s">
        <v>82</v>
      </c>
      <c r="C37" s="217" t="s">
        <v>83</v>
      </c>
      <c r="D37" s="199" t="s">
        <v>69</v>
      </c>
      <c r="E37" s="218"/>
      <c r="F37" s="218">
        <v>121.95121951219511</v>
      </c>
      <c r="G37" s="218">
        <f>F37*E33</f>
        <v>2</v>
      </c>
      <c r="H37" s="218">
        <f>G37</f>
        <v>2</v>
      </c>
      <c r="I37" s="219" t="str">
        <f>IF(AND((G37-H37)&lt;0,H37&gt;0),ABS(G37-H37)," ")</f>
        <v xml:space="preserve"> </v>
      </c>
      <c r="J37" s="220" t="str">
        <f>IF(AND((G37-H37)&gt;0, H37&gt;0),G37-H37," ")</f>
        <v xml:space="preserve"> </v>
      </c>
      <c r="K37" s="220"/>
    </row>
    <row r="38" spans="1:255" ht="36" x14ac:dyDescent="0.2">
      <c r="A38" s="212" t="s">
        <v>86</v>
      </c>
      <c r="B38" s="213" t="s">
        <v>87</v>
      </c>
      <c r="C38" s="213" t="s">
        <v>88</v>
      </c>
      <c r="D38" s="213" t="s">
        <v>89</v>
      </c>
      <c r="E38" s="214">
        <f>Source!I48</f>
        <v>0.02</v>
      </c>
      <c r="F38" s="214"/>
      <c r="G38" s="214"/>
      <c r="H38" s="214"/>
      <c r="I38" s="214"/>
      <c r="J38" s="215"/>
      <c r="K38" s="215"/>
    </row>
    <row r="39" spans="1:255" ht="72" x14ac:dyDescent="0.2">
      <c r="A39" s="216"/>
      <c r="B39" s="199" t="s">
        <v>92</v>
      </c>
      <c r="C39" s="217" t="s">
        <v>93</v>
      </c>
      <c r="D39" s="199" t="s">
        <v>69</v>
      </c>
      <c r="E39" s="218"/>
      <c r="F39" s="218">
        <v>100</v>
      </c>
      <c r="G39" s="218">
        <f>F39*E38</f>
        <v>2</v>
      </c>
      <c r="H39" s="218">
        <f>G39</f>
        <v>2</v>
      </c>
      <c r="I39" s="219" t="str">
        <f>IF(AND((G39-H39)&lt;0,H39&gt;0),ABS(G39-H39)," ")</f>
        <v xml:space="preserve"> </v>
      </c>
      <c r="J39" s="220" t="str">
        <f>IF(AND((G39-H39)&gt;0, H39&gt;0),G39-H39," ")</f>
        <v xml:space="preserve"> </v>
      </c>
      <c r="K39" s="220"/>
    </row>
    <row r="42" spans="1:255" x14ac:dyDescent="0.2">
      <c r="A42" s="175" t="s">
        <v>438</v>
      </c>
      <c r="B42" s="175"/>
      <c r="C42" s="180" t="s">
        <v>439</v>
      </c>
      <c r="D42" s="176"/>
      <c r="E42" s="176"/>
      <c r="F42" s="274" t="s">
        <v>440</v>
      </c>
      <c r="G42" s="274"/>
      <c r="BY42" s="177" t="str">
        <f>C42</f>
        <v>Начальник ПТС ООО "ОСУ-2"</v>
      </c>
      <c r="BZ42" s="177" t="str">
        <f>F42</f>
        <v>Когтев В.И.</v>
      </c>
      <c r="IU42" s="23"/>
    </row>
    <row r="43" spans="1:255" s="202" customFormat="1" ht="11.25" x14ac:dyDescent="0.2">
      <c r="A43" s="201"/>
      <c r="B43" s="201"/>
      <c r="C43" s="286" t="s">
        <v>434</v>
      </c>
      <c r="D43" s="286"/>
      <c r="E43" s="286"/>
      <c r="F43" s="286" t="s">
        <v>435</v>
      </c>
      <c r="G43" s="286"/>
    </row>
    <row r="44" spans="1:255" x14ac:dyDescent="0.2">
      <c r="A44" s="18"/>
      <c r="B44" s="18"/>
      <c r="C44" s="18"/>
      <c r="D44" s="11" t="s">
        <v>436</v>
      </c>
      <c r="E44" s="18"/>
      <c r="F44" s="18"/>
      <c r="G44" s="18"/>
    </row>
    <row r="45" spans="1:255" x14ac:dyDescent="0.2">
      <c r="A45" s="175" t="s">
        <v>441</v>
      </c>
      <c r="B45" s="175"/>
      <c r="C45" s="180" t="s">
        <v>10</v>
      </c>
      <c r="D45" s="176"/>
      <c r="E45" s="176"/>
      <c r="F45" s="274" t="s">
        <v>9</v>
      </c>
      <c r="G45" s="274"/>
      <c r="BY45" s="177" t="str">
        <f>C45</f>
        <v>инженер-сметчик</v>
      </c>
      <c r="BZ45" s="177" t="str">
        <f>F45</f>
        <v>Бобрышева И.В</v>
      </c>
      <c r="IU45" s="23"/>
    </row>
    <row r="46" spans="1:255" s="202" customFormat="1" ht="11.25" x14ac:dyDescent="0.2">
      <c r="A46" s="201"/>
      <c r="B46" s="201"/>
      <c r="C46" s="286" t="s">
        <v>434</v>
      </c>
      <c r="D46" s="286"/>
      <c r="E46" s="286"/>
      <c r="F46" s="286" t="s">
        <v>435</v>
      </c>
      <c r="G46" s="286"/>
    </row>
    <row r="47" spans="1:255" x14ac:dyDescent="0.2">
      <c r="A47" s="18"/>
      <c r="B47" s="18"/>
      <c r="C47" s="18"/>
      <c r="D47" s="11" t="s">
        <v>436</v>
      </c>
      <c r="E47" s="18"/>
      <c r="F47" s="18"/>
      <c r="G47" s="18"/>
    </row>
    <row r="48" spans="1:255" ht="22.5" x14ac:dyDescent="0.2">
      <c r="A48" s="175" t="s">
        <v>442</v>
      </c>
      <c r="B48" s="175"/>
      <c r="C48" s="180" t="s">
        <v>12</v>
      </c>
      <c r="D48" s="176"/>
      <c r="E48" s="176"/>
      <c r="F48" s="274" t="s">
        <v>11</v>
      </c>
      <c r="G48" s="274"/>
      <c r="BY48" s="177" t="str">
        <f>C48</f>
        <v>Главный инженер сметчик СРС ООО "ОДСК-Инжиниринг"</v>
      </c>
      <c r="BZ48" s="177" t="str">
        <f>F48</f>
        <v>Кузнецова У.И.</v>
      </c>
      <c r="IU48" s="23"/>
    </row>
    <row r="49" spans="1:7" s="202" customFormat="1" ht="11.25" x14ac:dyDescent="0.2">
      <c r="A49" s="201"/>
      <c r="B49" s="201"/>
      <c r="C49" s="286" t="s">
        <v>434</v>
      </c>
      <c r="D49" s="286"/>
      <c r="E49" s="286"/>
      <c r="F49" s="286" t="s">
        <v>435</v>
      </c>
      <c r="G49" s="286"/>
    </row>
    <row r="50" spans="1:7" x14ac:dyDescent="0.2">
      <c r="A50" s="18"/>
      <c r="B50" s="18"/>
      <c r="C50" s="18"/>
      <c r="D50" s="11" t="s">
        <v>436</v>
      </c>
      <c r="E50" s="18"/>
      <c r="F50" s="18"/>
      <c r="G50" s="18"/>
    </row>
  </sheetData>
  <mergeCells count="29">
    <mergeCell ref="C46:E46"/>
    <mergeCell ref="F46:G46"/>
    <mergeCell ref="F48:G48"/>
    <mergeCell ref="C49:E49"/>
    <mergeCell ref="F49:G49"/>
    <mergeCell ref="F45:G45"/>
    <mergeCell ref="A15:K15"/>
    <mergeCell ref="A16:K16"/>
    <mergeCell ref="A17:K17"/>
    <mergeCell ref="A18:K18"/>
    <mergeCell ref="B19:K19"/>
    <mergeCell ref="F21:H21"/>
    <mergeCell ref="A25:K25"/>
    <mergeCell ref="A26:K26"/>
    <mergeCell ref="F42:G42"/>
    <mergeCell ref="C43:E43"/>
    <mergeCell ref="F43:G43"/>
    <mergeCell ref="C14:K14"/>
    <mergeCell ref="A1:K1"/>
    <mergeCell ref="H2:K2"/>
    <mergeCell ref="H3:K3"/>
    <mergeCell ref="H4:K4"/>
    <mergeCell ref="H5:K5"/>
    <mergeCell ref="H6:K6"/>
    <mergeCell ref="H7:K7"/>
    <mergeCell ref="H8:K8"/>
    <mergeCell ref="C11:K11"/>
    <mergeCell ref="C12:K12"/>
    <mergeCell ref="C13:K13"/>
  </mergeCells>
  <pageMargins left="0.7" right="0.7" top="0.75" bottom="0.75" header="0.3" footer="0.3"/>
  <pageSetup paperSize="9" orientation="landscape" r:id="rId1"/>
  <headerFooter>
    <oddFooter>&amp;R&amp;P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9"/>
  <sheetViews>
    <sheetView workbookViewId="0"/>
  </sheetViews>
  <sheetFormatPr defaultRowHeight="12.75" x14ac:dyDescent="0.2"/>
  <sheetData>
    <row r="1" spans="1:255" x14ac:dyDescent="0.2">
      <c r="B1" t="s">
        <v>288</v>
      </c>
    </row>
    <row r="3" spans="1:255" x14ac:dyDescent="0.2">
      <c r="A3">
        <v>3</v>
      </c>
      <c r="B3" t="s">
        <v>289</v>
      </c>
    </row>
    <row r="4" spans="1:255" x14ac:dyDescent="0.2">
      <c r="A4">
        <v>1</v>
      </c>
      <c r="B4" t="s">
        <v>290</v>
      </c>
    </row>
    <row r="5" spans="1:255" x14ac:dyDescent="0.2">
      <c r="A5">
        <v>0</v>
      </c>
      <c r="B5" t="s">
        <v>291</v>
      </c>
    </row>
    <row r="6" spans="1:255" x14ac:dyDescent="0.2">
      <c r="A6">
        <v>2</v>
      </c>
      <c r="B6" t="s">
        <v>292</v>
      </c>
    </row>
    <row r="7" spans="1:255" x14ac:dyDescent="0.2">
      <c r="A7">
        <v>0</v>
      </c>
      <c r="B7" t="s">
        <v>293</v>
      </c>
    </row>
    <row r="8" spans="1:255" x14ac:dyDescent="0.2">
      <c r="A8">
        <v>2</v>
      </c>
      <c r="B8" t="s">
        <v>294</v>
      </c>
    </row>
    <row r="9" spans="1:255" x14ac:dyDescent="0.2">
      <c r="A9">
        <v>0</v>
      </c>
      <c r="B9" t="s">
        <v>295</v>
      </c>
    </row>
    <row r="13" spans="1:255" x14ac:dyDescent="0.2">
      <c r="A13">
        <v>3</v>
      </c>
      <c r="B13" t="s">
        <v>355</v>
      </c>
      <c r="D13" t="s">
        <v>356</v>
      </c>
      <c r="F13" t="s">
        <v>357</v>
      </c>
    </row>
    <row r="14" spans="1:255" x14ac:dyDescent="0.2">
      <c r="A14">
        <v>513</v>
      </c>
      <c r="B14" t="s">
        <v>380</v>
      </c>
      <c r="D14" t="s">
        <v>356</v>
      </c>
      <c r="F14" t="s">
        <v>357</v>
      </c>
      <c r="AY14" t="e">
        <f>SUM('ТЗ '!#REF!:'ТЗ '!#REF!)</f>
        <v>#REF!</v>
      </c>
      <c r="AZ14" t="e">
        <f>SUM('ТЗ '!#REF!:'ТЗ '!#REF!)</f>
        <v>#REF!</v>
      </c>
      <c r="BA14" t="e">
        <f>SUM('ТЗ '!#REF!:'ТЗ '!#REF!)</f>
        <v>#REF!</v>
      </c>
      <c r="BB14" t="e">
        <f>SUM('ТЗ '!#REF!:'ТЗ '!#REF!)</f>
        <v>#REF!</v>
      </c>
      <c r="BC14" t="e">
        <f>SUM('ТЗ '!#REF!:'ТЗ '!#REF!)</f>
        <v>#REF!</v>
      </c>
      <c r="BD14" t="e">
        <f>SUM('ТЗ '!#REF!:'ТЗ '!#REF!)</f>
        <v>#REF!</v>
      </c>
      <c r="CW14" t="e">
        <f>Source!DM52</f>
        <v>#REF!</v>
      </c>
      <c r="CX14">
        <f>Source!DN52</f>
        <v>2.04542</v>
      </c>
      <c r="CY14">
        <f>Source!DG52</f>
        <v>18998</v>
      </c>
      <c r="CZ14">
        <f>Source!DK52</f>
        <v>3352</v>
      </c>
      <c r="DA14">
        <f>Source!DI52</f>
        <v>1845</v>
      </c>
      <c r="DB14">
        <f>Source!DJ52</f>
        <v>516</v>
      </c>
      <c r="DC14">
        <f>Source!DH52</f>
        <v>13801</v>
      </c>
      <c r="DD14">
        <f>Source!EG52</f>
        <v>0</v>
      </c>
      <c r="DE14">
        <f>Source!EN52</f>
        <v>13801</v>
      </c>
      <c r="DF14">
        <f>Source!EO52</f>
        <v>13801</v>
      </c>
      <c r="DG14">
        <f>Source!EP52</f>
        <v>0</v>
      </c>
      <c r="DH14">
        <f>Source!EQ52</f>
        <v>13801</v>
      </c>
      <c r="DI14">
        <f>Source!EH52</f>
        <v>0</v>
      </c>
      <c r="DJ14">
        <f>Source!EI52</f>
        <v>0</v>
      </c>
      <c r="DK14">
        <f>Source!ER52</f>
        <v>0</v>
      </c>
      <c r="DL14">
        <f>Source!DL52</f>
        <v>0</v>
      </c>
      <c r="DM14">
        <f>Source!DO52</f>
        <v>18</v>
      </c>
      <c r="DN14" t="e">
        <f>Source!DP52</f>
        <v>#REF!</v>
      </c>
      <c r="DO14" t="e">
        <f>Source!DQ52</f>
        <v>#REF!</v>
      </c>
      <c r="DP14" t="e">
        <f>Source!EJ52</f>
        <v>#REF!</v>
      </c>
      <c r="DQ14" t="e">
        <f>Source!EK52</f>
        <v>#REF!</v>
      </c>
      <c r="DR14">
        <f>Source!EL52</f>
        <v>0</v>
      </c>
      <c r="DS14">
        <f>Source!EH52</f>
        <v>0</v>
      </c>
      <c r="DT14">
        <f>Source!EM52</f>
        <v>0</v>
      </c>
      <c r="DU14" t="e">
        <f>Source!EK52+Source!EL52</f>
        <v>#REF!</v>
      </c>
      <c r="DW14">
        <f>Source!ES52</f>
        <v>0</v>
      </c>
      <c r="DX14">
        <f>Source!ET52</f>
        <v>0</v>
      </c>
      <c r="DY14">
        <f>Source!EU52</f>
        <v>0</v>
      </c>
      <c r="DZ14">
        <f>Source!EV52</f>
        <v>0</v>
      </c>
      <c r="ET14" t="e">
        <f>Source!DM52</f>
        <v>#REF!</v>
      </c>
      <c r="EU14">
        <f>Source!DN52</f>
        <v>2.04542</v>
      </c>
      <c r="EV14" t="e">
        <f>SUM('ТЗ '!#REF!:'ТЗ '!#REF!)</f>
        <v>#REF!</v>
      </c>
      <c r="EW14" t="e">
        <f>SUM('ТЗ '!#REF!:'ТЗ '!#REF!)</f>
        <v>#REF!</v>
      </c>
      <c r="EX14" t="e">
        <f>SUM('ТЗ '!#REF!:'ТЗ '!#REF!)</f>
        <v>#REF!</v>
      </c>
      <c r="EY14" t="e">
        <f>SUM('ТЗ '!#REF!:'ТЗ '!#REF!)</f>
        <v>#REF!</v>
      </c>
      <c r="EZ14" t="e">
        <f>SUM('ТЗ '!#REF!:'ТЗ '!#REF!)</f>
        <v>#REF!</v>
      </c>
      <c r="FA14" t="e">
        <f>SUM('ТЗ '!#REF!:'ТЗ '!#REF!)</f>
        <v>#REF!</v>
      </c>
      <c r="FB14" t="e">
        <f>SUM('ТЗ '!#REF!:'ТЗ '!#REF!)</f>
        <v>#REF!</v>
      </c>
      <c r="FC14" t="e">
        <f>SUM('ТЗ '!#REF!:'ТЗ '!#REF!)</f>
        <v>#REF!</v>
      </c>
      <c r="FD14" t="e">
        <f>SUM('ТЗ '!#REF!:'ТЗ '!#REF!)</f>
        <v>#REF!</v>
      </c>
      <c r="FE14" t="e">
        <f>SUM('ТЗ '!#REF!:'ТЗ '!#REF!)</f>
        <v>#REF!</v>
      </c>
      <c r="FF14" t="e">
        <f>SUM('ТЗ '!#REF!:'ТЗ '!#REF!)</f>
        <v>#REF!</v>
      </c>
      <c r="FG14" t="e">
        <f>SUM('ТЗ '!#REF!:'ТЗ '!#REF!)</f>
        <v>#REF!</v>
      </c>
      <c r="FH14" t="e">
        <f>SUM('ТЗ '!#REF!:'ТЗ '!#REF!)</f>
        <v>#REF!</v>
      </c>
      <c r="FI14" t="e">
        <f>SUM('ТЗ '!#REF!:'ТЗ '!#REF!)</f>
        <v>#REF!</v>
      </c>
      <c r="FJ14" t="e">
        <f>SUM('ТЗ '!#REF!:'ТЗ '!#REF!)</f>
        <v>#REF!</v>
      </c>
      <c r="FK14" t="e">
        <f>SUM('ТЗ '!#REF!:'ТЗ '!#REF!)</f>
        <v>#REF!</v>
      </c>
      <c r="FL14" t="e">
        <f>SUM('ТЗ '!#REF!:'ТЗ '!#REF!)</f>
        <v>#REF!</v>
      </c>
      <c r="FM14" t="e">
        <f>SUM('ТЗ '!#REF!:'ТЗ '!#REF!)</f>
        <v>#REF!</v>
      </c>
      <c r="FN14" t="e">
        <f>SUM('ТЗ '!#REF!:'ТЗ '!#REF!)</f>
        <v>#REF!</v>
      </c>
      <c r="FO14" t="e">
        <f>SUM('ТЗ '!#REF!:'ТЗ '!#REF!)</f>
        <v>#REF!</v>
      </c>
      <c r="FP14" t="e">
        <f>SUM('ТЗ '!#REF!:'ТЗ '!#REF!)</f>
        <v>#REF!</v>
      </c>
      <c r="FQ14" t="e">
        <f>SUM('ТЗ '!#REF!:'ТЗ '!#REF!)</f>
        <v>#REF!</v>
      </c>
      <c r="FR14" t="e">
        <f>SUM('ТЗ '!#REF!:'ТЗ '!#REF!)+SUM('ТЗ '!#REF!:'ТЗ '!#REF!)</f>
        <v>#REF!</v>
      </c>
      <c r="FS14" t="e">
        <f>SUM('ТЗ '!#REF!:'ТЗ '!#REF!)</f>
        <v>#REF!</v>
      </c>
      <c r="FT14" t="e">
        <f>SUM('ТЗ '!#REF!:'ТЗ '!#REF!)</f>
        <v>#REF!</v>
      </c>
      <c r="FU14" t="e">
        <f>SUM('ТЗ '!#REF!:'ТЗ '!#REF!)</f>
        <v>#REF!</v>
      </c>
      <c r="FV14" t="e">
        <f>SUM('ТЗ '!#REF!:'ТЗ '!#REF!)</f>
        <v>#REF!</v>
      </c>
      <c r="FW14" t="e">
        <f>SUM('ТЗ '!#REF!:'ТЗ '!#REF!)</f>
        <v>#REF!</v>
      </c>
      <c r="FX14" t="e">
        <f>SUMIF('ТЗ '!#REF!:'ТЗ '!#REF!,1,'ТЗ '!#REF!:'ТЗ '!#REF!)</f>
        <v>#REF!</v>
      </c>
      <c r="FY14" t="e">
        <f>SUMIF('ТЗ '!#REF!:'ТЗ '!#REF!,2,'ТЗ '!#REF!:'ТЗ '!#REF!)</f>
        <v>#REF!</v>
      </c>
      <c r="FZ14" t="e">
        <f>SUMIF('ТЗ '!#REF!:'ТЗ '!#REF!,5,'ТЗ '!#REF!:'ТЗ '!#REF!)</f>
        <v>#REF!</v>
      </c>
      <c r="GA14" t="e">
        <f>SUMIF('ТЗ '!#REF!:'ТЗ '!#REF!,4,'ТЗ '!#REF!:'ТЗ '!#REF!)</f>
        <v>#REF!</v>
      </c>
      <c r="GB14" t="e">
        <f>SUMIF('ТЗ '!#REF!:'ТЗ '!#REF!,1,'ТЗ '!#REF!:'ТЗ '!#REF!)</f>
        <v>#REF!</v>
      </c>
      <c r="GC14" t="e">
        <f>SUMIF('ТЗ '!#REF!:'ТЗ '!#REF!,2,'ТЗ '!#REF!:'ТЗ '!#REF!)</f>
        <v>#REF!</v>
      </c>
      <c r="GD14" t="e">
        <f>SUMIF('ТЗ '!#REF!:'ТЗ '!#REF!,4,'ТЗ '!#REF!:'ТЗ '!#REF!)</f>
        <v>#REF!</v>
      </c>
      <c r="GE14" t="e">
        <f>SUMIF('ТЗ '!#REF!:'ТЗ '!#REF!,1,'ТЗ '!#REF!:'ТЗ '!#REF!)</f>
        <v>#REF!</v>
      </c>
      <c r="GF14" t="e">
        <f>SUMIF('ТЗ '!#REF!:'ТЗ '!#REF!,2,'ТЗ '!#REF!:'ТЗ '!#REF!)</f>
        <v>#REF!</v>
      </c>
      <c r="GG14" t="e">
        <f>SUMIF('ТЗ '!#REF!:'ТЗ '!#REF!,4,'ТЗ '!#REF!:'ТЗ '!#REF!)</f>
        <v>#REF!</v>
      </c>
      <c r="IB14" t="e">
        <f>SUM('ТЗ '!#REF!:'ТЗ '!#REF!)</f>
        <v>#REF!</v>
      </c>
      <c r="IC14" t="e">
        <f>SUM('ТЗ '!#REF!:'ТЗ '!#REF!)</f>
        <v>#REF!</v>
      </c>
      <c r="ID14" t="e">
        <f>SUM('ТЗ '!#REF!:'ТЗ '!#REF!)</f>
        <v>#REF!</v>
      </c>
      <c r="IE14" t="e">
        <f>SUM('ТЗ '!#REF!:'ТЗ '!#REF!)</f>
        <v>#REF!</v>
      </c>
      <c r="IF14" t="e">
        <f>SUM('ТЗ '!#REF!:'ТЗ '!#REF!)</f>
        <v>#REF!</v>
      </c>
      <c r="IG14" t="e">
        <f>SUM('ТЗ '!#REF!:'ТЗ '!#REF!)</f>
        <v>#REF!</v>
      </c>
      <c r="IH14" t="e">
        <f>SUM('ТЗ '!#REF!:'ТЗ '!#REF!)</f>
        <v>#REF!</v>
      </c>
      <c r="II14" t="e">
        <f>SUM('ТЗ '!#REF!:'ТЗ '!#REF!)</f>
        <v>#REF!</v>
      </c>
      <c r="IJ14" t="e">
        <f>SUM('ТЗ '!#REF!:'ТЗ '!#REF!)</f>
        <v>#REF!</v>
      </c>
      <c r="IK14" t="e">
        <f>SUM('ТЗ '!#REF!:'ТЗ '!#REF!)</f>
        <v>#REF!</v>
      </c>
      <c r="IL14" t="e">
        <f>SUM('ТЗ '!#REF!:'ТЗ '!#REF!)</f>
        <v>#REF!</v>
      </c>
      <c r="IM14" t="e">
        <f>SUM('ТЗ '!#REF!:'ТЗ '!#REF!)</f>
        <v>#REF!</v>
      </c>
      <c r="IN14" t="e">
        <f>SUMIF('ТЗ '!#REF!:'ТЗ '!#REF!,1,'ТЗ '!#REF!:'ТЗ '!#REF!)</f>
        <v>#REF!</v>
      </c>
      <c r="IO14" t="e">
        <f>SUMIF('ТЗ '!#REF!:'ТЗ '!#REF!,2,'ТЗ '!#REF!:'ТЗ '!#REF!)</f>
        <v>#REF!</v>
      </c>
      <c r="IP14" t="e">
        <f>SUMIF('ТЗ '!#REF!:'ТЗ '!#REF!,5,'ТЗ '!#REF!:'ТЗ '!#REF!)</f>
        <v>#REF!</v>
      </c>
      <c r="IQ14" t="e">
        <f>SUMIF('ТЗ '!#REF!:'ТЗ '!#REF!,4,'ТЗ '!#REF!:'ТЗ '!#REF!)</f>
        <v>#REF!</v>
      </c>
      <c r="IR14" t="e">
        <f>SUMIF('ТЗ '!#REF!:'ТЗ '!#REF!,1,'ТЗ '!#REF!:'ТЗ '!#REF!)</f>
        <v>#REF!</v>
      </c>
      <c r="IS14" t="e">
        <f>SUMIF('ТЗ '!#REF!:'ТЗ '!#REF!,2,'ТЗ '!#REF!:'ТЗ '!#REF!)</f>
        <v>#REF!</v>
      </c>
      <c r="IT14" t="e">
        <f>SUMIF('ТЗ '!#REF!:'ТЗ '!#REF!,5,'ТЗ '!#REF!:'ТЗ '!#REF!)</f>
        <v>#REF!</v>
      </c>
      <c r="IU14" t="e">
        <f>SUMIF('ТЗ '!#REF!:'ТЗ '!#REF!,4,'ТЗ '!#REF!:'ТЗ '!#REF!)</f>
        <v>#REF!</v>
      </c>
    </row>
    <row r="15" spans="1:255" x14ac:dyDescent="0.2">
      <c r="A15">
        <v>999</v>
      </c>
      <c r="B15" t="s">
        <v>443</v>
      </c>
    </row>
    <row r="109" spans="57:68" x14ac:dyDescent="0.2">
      <c r="BE109" t="e">
        <f>SUMIF('ТЗ '!#REF!:'ТЗ '!#REF!,1,'ТЗ '!#REF!:'ТЗ '!#REF!)</f>
        <v>#REF!</v>
      </c>
      <c r="BF109" t="e">
        <f>SUMIF('ТЗ '!#REF!:'ТЗ '!#REF!,2,'ТЗ '!#REF!:'ТЗ '!#REF!)</f>
        <v>#REF!</v>
      </c>
      <c r="BG109" t="e">
        <f>SUMIF('ТЗ '!#REF!:'ТЗ '!#REF!,5,'ТЗ '!#REF!:'ТЗ '!#REF!)</f>
        <v>#REF!</v>
      </c>
      <c r="BH109" t="e">
        <f>SUMIF('ТЗ '!#REF!:'ТЗ '!#REF!,4,'ТЗ '!#REF!:'ТЗ '!#REF!)</f>
        <v>#REF!</v>
      </c>
      <c r="BI109" t="e">
        <f>SUMIF('ТЗ '!#REF!:'ТЗ '!#REF!,1,'ТЗ '!#REF!:'ТЗ '!#REF!)</f>
        <v>#REF!</v>
      </c>
      <c r="BJ109" t="e">
        <f>SUMIF('ТЗ '!#REF!:'ТЗ '!#REF!,2,'ТЗ '!#REF!:'ТЗ '!#REF!)</f>
        <v>#REF!</v>
      </c>
      <c r="BK109" t="e">
        <f>SUMIF('ТЗ '!#REF!:'ТЗ '!#REF!,5,'ТЗ '!#REF!:'ТЗ '!#REF!)</f>
        <v>#REF!</v>
      </c>
      <c r="BL109" t="e">
        <f>SUMIF('ТЗ '!#REF!:'ТЗ '!#REF!,4,'ТЗ '!#REF!:'ТЗ '!#REF!)</f>
        <v>#REF!</v>
      </c>
      <c r="BM109" t="e">
        <f>SUMIF('ТЗ '!#REF!:'ТЗ '!#REF!,1,'ТЗ '!#REF!:'ТЗ '!#REF!)</f>
        <v>#REF!</v>
      </c>
      <c r="BN109" t="e">
        <f>SUMIF('ТЗ '!#REF!:'ТЗ '!#REF!,2,'ТЗ '!#REF!:'ТЗ '!#REF!)</f>
        <v>#REF!</v>
      </c>
      <c r="BO109" t="e">
        <f>SUMIF('ТЗ '!#REF!:'ТЗ '!#REF!,5,'ТЗ '!#REF!:'ТЗ '!#REF!)</f>
        <v>#REF!</v>
      </c>
      <c r="BP109" t="e">
        <f>SUMIF('ТЗ '!#REF!:'ТЗ '!#REF!,4,'ТЗ '!#REF!:'ТЗ '!#REF!)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99"/>
  <sheetViews>
    <sheetView zoomScaleNormal="100" workbookViewId="0">
      <selection activeCell="G59" sqref="G59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113.7109375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5" customFormat="1" ht="11.25" x14ac:dyDescent="0.2">
      <c r="A1" s="15" t="s">
        <v>300</v>
      </c>
    </row>
    <row r="2" spans="1:255" hidden="1" outlineLevel="1" x14ac:dyDescent="0.2">
      <c r="H2" s="320" t="s">
        <v>301</v>
      </c>
      <c r="I2" s="320"/>
      <c r="J2" s="320"/>
      <c r="K2" s="320"/>
    </row>
    <row r="3" spans="1:255" hidden="1" outlineLevel="1" x14ac:dyDescent="0.2">
      <c r="H3" s="320" t="s">
        <v>302</v>
      </c>
      <c r="I3" s="320"/>
      <c r="J3" s="320"/>
      <c r="K3" s="320"/>
    </row>
    <row r="4" spans="1:255" hidden="1" outlineLevel="1" x14ac:dyDescent="0.2">
      <c r="H4" s="320" t="s">
        <v>303</v>
      </c>
      <c r="I4" s="320"/>
      <c r="J4" s="320"/>
      <c r="K4" s="320"/>
    </row>
    <row r="5" spans="1:255" s="14" customFormat="1" ht="11.25" hidden="1" outlineLevel="1" x14ac:dyDescent="0.2">
      <c r="J5" s="321" t="s">
        <v>304</v>
      </c>
      <c r="K5" s="322"/>
    </row>
    <row r="6" spans="1:255" s="16" customFormat="1" ht="9.75" hidden="1" outlineLevel="1" x14ac:dyDescent="0.2">
      <c r="I6" s="17" t="s">
        <v>305</v>
      </c>
      <c r="J6" s="323" t="s">
        <v>306</v>
      </c>
      <c r="K6" s="324"/>
    </row>
    <row r="7" spans="1:255" hidden="1" outlineLevel="1" x14ac:dyDescent="0.2">
      <c r="A7" s="21" t="s">
        <v>307</v>
      </c>
      <c r="B7" s="19"/>
      <c r="C7" s="270"/>
      <c r="D7" s="271"/>
      <c r="E7" s="271"/>
      <c r="F7" s="271"/>
      <c r="G7" s="271"/>
      <c r="I7" s="17" t="s">
        <v>308</v>
      </c>
      <c r="J7" s="318"/>
      <c r="K7" s="319"/>
      <c r="BR7" s="22">
        <f>C7</f>
        <v>0</v>
      </c>
      <c r="IU7" s="23"/>
    </row>
    <row r="8" spans="1:255" hidden="1" outlineLevel="1" x14ac:dyDescent="0.2">
      <c r="A8" s="21" t="s">
        <v>309</v>
      </c>
      <c r="B8" s="19"/>
      <c r="C8" s="272"/>
      <c r="D8" s="273"/>
      <c r="E8" s="273"/>
      <c r="F8" s="273"/>
      <c r="G8" s="273"/>
      <c r="I8" s="17" t="s">
        <v>308</v>
      </c>
      <c r="J8" s="318"/>
      <c r="K8" s="319"/>
      <c r="BR8" s="22">
        <f>C8</f>
        <v>0</v>
      </c>
      <c r="IU8" s="23"/>
    </row>
    <row r="9" spans="1:255" hidden="1" outlineLevel="1" x14ac:dyDescent="0.2">
      <c r="A9" s="21" t="s">
        <v>310</v>
      </c>
      <c r="B9" s="19"/>
      <c r="C9" s="272"/>
      <c r="D9" s="273"/>
      <c r="E9" s="273"/>
      <c r="F9" s="273"/>
      <c r="G9" s="273"/>
      <c r="I9" s="17" t="s">
        <v>308</v>
      </c>
      <c r="J9" s="318"/>
      <c r="K9" s="319"/>
      <c r="BR9" s="22">
        <f>C9</f>
        <v>0</v>
      </c>
      <c r="IU9" s="23"/>
    </row>
    <row r="10" spans="1:255" hidden="1" outlineLevel="1" x14ac:dyDescent="0.2">
      <c r="A10" s="21" t="s">
        <v>311</v>
      </c>
      <c r="B10" s="19"/>
      <c r="C10" s="272"/>
      <c r="D10" s="273"/>
      <c r="E10" s="273"/>
      <c r="F10" s="273"/>
      <c r="G10" s="273"/>
      <c r="I10" s="17" t="s">
        <v>308</v>
      </c>
      <c r="J10" s="318"/>
      <c r="K10" s="319"/>
      <c r="BR10" s="22">
        <f>C10</f>
        <v>0</v>
      </c>
      <c r="IU10" s="23"/>
    </row>
    <row r="11" spans="1:255" ht="38.25" hidden="1" outlineLevel="1" x14ac:dyDescent="0.2">
      <c r="A11" s="21" t="s">
        <v>312</v>
      </c>
      <c r="C11" s="325" t="s">
        <v>4</v>
      </c>
      <c r="D11" s="325"/>
      <c r="E11" s="325"/>
      <c r="F11" s="325"/>
      <c r="G11" s="325"/>
      <c r="J11" s="318"/>
      <c r="K11" s="326"/>
      <c r="BS11" s="26" t="str">
        <f>C11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IU11" s="23"/>
    </row>
    <row r="12" spans="1:255" ht="38.25" hidden="1" outlineLevel="1" x14ac:dyDescent="0.2">
      <c r="A12" s="21" t="s">
        <v>313</v>
      </c>
      <c r="C12" s="325" t="s">
        <v>4</v>
      </c>
      <c r="D12" s="325"/>
      <c r="E12" s="325"/>
      <c r="F12" s="325"/>
      <c r="G12" s="325"/>
      <c r="J12" s="318"/>
      <c r="K12" s="326"/>
      <c r="BS12" s="26" t="str">
        <f>C12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IU12" s="23"/>
    </row>
    <row r="13" spans="1:255" hidden="1" outlineLevel="1" x14ac:dyDescent="0.2">
      <c r="A13" s="21" t="s">
        <v>314</v>
      </c>
      <c r="C13" s="327" t="s">
        <v>315</v>
      </c>
      <c r="D13" s="328"/>
      <c r="E13" s="328"/>
      <c r="F13" s="328"/>
      <c r="G13" s="328"/>
      <c r="I13" s="17" t="s">
        <v>316</v>
      </c>
      <c r="J13" s="318"/>
      <c r="K13" s="326"/>
      <c r="BS13" s="27" t="str">
        <f>C13</f>
        <v xml:space="preserve"> 6.2.1.2.3 Разметка стоянок и  монтаж дорожных знаков, поз.1</v>
      </c>
      <c r="IU13" s="23"/>
    </row>
    <row r="14" spans="1:255" hidden="1" outlineLevel="1" x14ac:dyDescent="0.2">
      <c r="G14" s="329" t="s">
        <v>317</v>
      </c>
      <c r="H14" s="329"/>
      <c r="I14" s="28" t="s">
        <v>318</v>
      </c>
      <c r="J14" s="330"/>
      <c r="K14" s="331"/>
      <c r="BW14" s="30">
        <f>J14</f>
        <v>0</v>
      </c>
      <c r="IU14" s="23"/>
    </row>
    <row r="15" spans="1:255" hidden="1" outlineLevel="1" x14ac:dyDescent="0.2">
      <c r="I15" s="29" t="s">
        <v>319</v>
      </c>
      <c r="J15" s="332"/>
      <c r="K15" s="333"/>
    </row>
    <row r="16" spans="1:255" s="16" customFormat="1" ht="11.25" hidden="1" outlineLevel="1" x14ac:dyDescent="0.2">
      <c r="I16" s="17" t="s">
        <v>320</v>
      </c>
      <c r="J16" s="334"/>
      <c r="K16" s="335"/>
    </row>
    <row r="17" spans="1:255" hidden="1" outlineLevel="1" x14ac:dyDescent="0.2"/>
    <row r="18" spans="1:255" hidden="1" outlineLevel="1" x14ac:dyDescent="0.2">
      <c r="G18" s="336" t="s">
        <v>321</v>
      </c>
      <c r="H18" s="336" t="s">
        <v>322</v>
      </c>
      <c r="I18" s="338" t="s">
        <v>323</v>
      </c>
      <c r="J18" s="339"/>
    </row>
    <row r="19" spans="1:255" ht="13.5" hidden="1" outlineLevel="1" thickBot="1" x14ac:dyDescent="0.25">
      <c r="G19" s="337"/>
      <c r="H19" s="337"/>
      <c r="I19" s="34" t="s">
        <v>324</v>
      </c>
      <c r="J19" s="35" t="s">
        <v>325</v>
      </c>
    </row>
    <row r="20" spans="1:255" ht="19.5" hidden="1" outlineLevel="1" thickBot="1" x14ac:dyDescent="0.35">
      <c r="C20" s="276" t="s">
        <v>326</v>
      </c>
      <c r="D20" s="276"/>
      <c r="E20" s="276"/>
      <c r="F20" s="276"/>
      <c r="G20" s="37"/>
      <c r="H20" s="38"/>
      <c r="I20" s="39"/>
      <c r="J20" s="40"/>
      <c r="K20" s="41"/>
    </row>
    <row r="21" spans="1:255" ht="15.75" hidden="1" outlineLevel="1" x14ac:dyDescent="0.25">
      <c r="C21" s="340" t="s">
        <v>327</v>
      </c>
      <c r="D21" s="340"/>
      <c r="E21" s="340"/>
      <c r="F21" s="340"/>
    </row>
    <row r="22" spans="1:255" hidden="1" outlineLevel="1" x14ac:dyDescent="0.2">
      <c r="C22" s="277"/>
      <c r="D22" s="275"/>
      <c r="E22" s="275"/>
      <c r="F22" s="275"/>
    </row>
    <row r="23" spans="1:255" hidden="1" outlineLevel="1" x14ac:dyDescent="0.2">
      <c r="C23" s="341" t="s">
        <v>20</v>
      </c>
      <c r="D23" s="342"/>
      <c r="E23" s="342"/>
      <c r="F23" s="342"/>
      <c r="BU23" s="22">
        <f>A23</f>
        <v>0</v>
      </c>
      <c r="IU23" s="23"/>
    </row>
    <row r="24" spans="1:255" hidden="1" outlineLevel="1" x14ac:dyDescent="0.2">
      <c r="A24" s="16" t="s">
        <v>328</v>
      </c>
    </row>
    <row r="25" spans="1:255" hidden="1" outlineLevel="1" x14ac:dyDescent="0.2">
      <c r="A25" s="16" t="s">
        <v>329</v>
      </c>
    </row>
    <row r="26" spans="1:255" hidden="1" outlineLevel="1" x14ac:dyDescent="0.2">
      <c r="A26" s="16" t="s">
        <v>330</v>
      </c>
      <c r="B26" s="16"/>
      <c r="C26" s="16"/>
      <c r="D26" s="16"/>
      <c r="E26" s="343" t="e">
        <f>K167/1000</f>
        <v>#REF!</v>
      </c>
      <c r="F26" s="343"/>
      <c r="G26" s="16" t="s">
        <v>331</v>
      </c>
      <c r="H26" s="16"/>
      <c r="I26" s="16"/>
      <c r="J26" s="16"/>
      <c r="K26" s="16"/>
    </row>
    <row r="27" spans="1:255" collapsed="1" x14ac:dyDescent="0.2"/>
    <row r="28" spans="1:255" outlineLevel="1" x14ac:dyDescent="0.2">
      <c r="K28" s="42" t="s">
        <v>332</v>
      </c>
    </row>
    <row r="29" spans="1:255" ht="24" outlineLevel="1" x14ac:dyDescent="0.2">
      <c r="A29" s="21" t="s">
        <v>312</v>
      </c>
      <c r="C29" s="287" t="s">
        <v>4</v>
      </c>
      <c r="D29" s="287"/>
      <c r="E29" s="287"/>
      <c r="F29" s="287"/>
      <c r="G29" s="287"/>
      <c r="H29" s="287"/>
      <c r="I29" s="287"/>
      <c r="J29" s="287"/>
      <c r="K29" s="287"/>
      <c r="BT29" s="44" t="str">
        <f>C29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IU29" s="23"/>
    </row>
    <row r="30" spans="1:255" ht="24" outlineLevel="1" x14ac:dyDescent="0.2">
      <c r="A30" s="21" t="s">
        <v>313</v>
      </c>
      <c r="C30" s="287" t="s">
        <v>4</v>
      </c>
      <c r="D30" s="287"/>
      <c r="E30" s="287"/>
      <c r="F30" s="287"/>
      <c r="G30" s="287"/>
      <c r="H30" s="287"/>
      <c r="I30" s="287"/>
      <c r="J30" s="287"/>
      <c r="K30" s="287"/>
      <c r="BT30" s="44" t="str">
        <f>C30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IU30" s="23"/>
    </row>
    <row r="31" spans="1:255" outlineLevel="1" x14ac:dyDescent="0.2">
      <c r="A31" s="21" t="s">
        <v>314</v>
      </c>
      <c r="C31" s="289" t="s">
        <v>333</v>
      </c>
      <c r="D31" s="287"/>
      <c r="E31" s="287"/>
      <c r="F31" s="287"/>
      <c r="G31" s="287"/>
      <c r="H31" s="287"/>
      <c r="I31" s="287"/>
      <c r="J31" s="287"/>
      <c r="K31" s="287"/>
      <c r="BT31" s="45" t="str">
        <f>C31</f>
        <v xml:space="preserve"> 6.2.1.2.3 Разметка стоянок и  монтаж дорожных знаков, поз.1 </v>
      </c>
      <c r="IU31" s="23"/>
    </row>
    <row r="32" spans="1:255" outlineLevel="1" x14ac:dyDescent="0.2"/>
    <row r="33" spans="1:255" ht="18.75" outlineLevel="1" x14ac:dyDescent="0.3">
      <c r="A33" s="276" t="s">
        <v>334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6"/>
    </row>
    <row r="34" spans="1:255" outlineLevel="1" x14ac:dyDescent="0.2">
      <c r="A34" s="308" t="s">
        <v>20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BV34" s="26" t="str">
        <f>A34</f>
        <v>Разметка стоянок и монтаж дорожных знаков</v>
      </c>
      <c r="IU34" s="23"/>
    </row>
    <row r="35" spans="1:255" outlineLevel="1" x14ac:dyDescent="0.2">
      <c r="A35" s="21" t="s">
        <v>335</v>
      </c>
      <c r="C35" s="287" t="s">
        <v>8</v>
      </c>
      <c r="D35" s="287"/>
      <c r="E35" s="287"/>
      <c r="F35" s="287"/>
      <c r="G35" s="287"/>
      <c r="H35" s="287"/>
      <c r="I35" s="287"/>
      <c r="J35" s="287"/>
      <c r="K35" s="287"/>
      <c r="BT35" s="44" t="str">
        <f>C35</f>
        <v>06-22-ОДСК-ГП изм.34</v>
      </c>
      <c r="IU35" s="23"/>
    </row>
    <row r="36" spans="1:255" outlineLevel="1" x14ac:dyDescent="0.2">
      <c r="I36" s="46" t="s">
        <v>336</v>
      </c>
      <c r="J36" s="46" t="s">
        <v>337</v>
      </c>
    </row>
    <row r="37" spans="1:255" outlineLevel="1" x14ac:dyDescent="0.2">
      <c r="G37" s="36" t="s">
        <v>338</v>
      </c>
      <c r="H37" s="36"/>
      <c r="I37" s="47">
        <f>I167/1000</f>
        <v>3.8370000000000002</v>
      </c>
      <c r="J37" s="47" t="e">
        <f>K167/1000</f>
        <v>#REF!</v>
      </c>
      <c r="K37" s="36" t="s">
        <v>339</v>
      </c>
    </row>
    <row r="38" spans="1:255" outlineLevel="1" x14ac:dyDescent="0.2">
      <c r="G38" s="16" t="s">
        <v>340</v>
      </c>
      <c r="H38" s="16"/>
      <c r="I38" s="48">
        <f>SUM(GK47:GK108)/1000</f>
        <v>8.7999999999999995E-2</v>
      </c>
      <c r="J38" s="48">
        <f>(Source!DK52)/1000</f>
        <v>3.3519999999999999</v>
      </c>
      <c r="K38" s="16" t="s">
        <v>339</v>
      </c>
    </row>
    <row r="39" spans="1:255" outlineLevel="1" x14ac:dyDescent="0.2">
      <c r="G39" s="16" t="s">
        <v>341</v>
      </c>
      <c r="H39" s="16"/>
      <c r="I39" s="48" t="e">
        <f>Source!DM52</f>
        <v>#REF!</v>
      </c>
      <c r="J39" s="48" t="e">
        <f>Source!DM52</f>
        <v>#REF!</v>
      </c>
      <c r="K39" s="16" t="s">
        <v>342</v>
      </c>
    </row>
    <row r="40" spans="1:255" outlineLevel="1" x14ac:dyDescent="0.2">
      <c r="A40" s="16" t="s">
        <v>343</v>
      </c>
    </row>
    <row r="41" spans="1:255" ht="13.5" outlineLevel="1" thickBot="1" x14ac:dyDescent="0.25">
      <c r="A41" s="16" t="s">
        <v>329</v>
      </c>
    </row>
    <row r="42" spans="1:255" x14ac:dyDescent="0.2">
      <c r="A42" s="344" t="s">
        <v>344</v>
      </c>
      <c r="B42" s="346" t="s">
        <v>345</v>
      </c>
      <c r="C42" s="346" t="s">
        <v>346</v>
      </c>
      <c r="D42" s="346" t="s">
        <v>347</v>
      </c>
      <c r="E42" s="346" t="s">
        <v>348</v>
      </c>
      <c r="F42" s="346" t="s">
        <v>349</v>
      </c>
      <c r="G42" s="346" t="s">
        <v>350</v>
      </c>
      <c r="H42" s="346" t="s">
        <v>351</v>
      </c>
      <c r="I42" s="346" t="s">
        <v>352</v>
      </c>
      <c r="J42" s="346" t="s">
        <v>353</v>
      </c>
      <c r="K42" s="351" t="s">
        <v>354</v>
      </c>
    </row>
    <row r="43" spans="1:255" x14ac:dyDescent="0.2">
      <c r="A43" s="345"/>
      <c r="B43" s="347"/>
      <c r="C43" s="347"/>
      <c r="D43" s="347"/>
      <c r="E43" s="347"/>
      <c r="F43" s="347"/>
      <c r="G43" s="347"/>
      <c r="H43" s="347"/>
      <c r="I43" s="347"/>
      <c r="J43" s="347"/>
      <c r="K43" s="352"/>
    </row>
    <row r="44" spans="1:255" x14ac:dyDescent="0.2">
      <c r="A44" s="345"/>
      <c r="B44" s="347"/>
      <c r="C44" s="347"/>
      <c r="D44" s="347"/>
      <c r="E44" s="347"/>
      <c r="F44" s="347"/>
      <c r="G44" s="347"/>
      <c r="H44" s="347"/>
      <c r="I44" s="347"/>
      <c r="J44" s="347"/>
      <c r="K44" s="352"/>
    </row>
    <row r="45" spans="1:255" ht="13.5" thickBot="1" x14ac:dyDescent="0.25">
      <c r="A45" s="345"/>
      <c r="B45" s="347"/>
      <c r="C45" s="347"/>
      <c r="D45" s="347"/>
      <c r="E45" s="347"/>
      <c r="F45" s="347"/>
      <c r="G45" s="347"/>
      <c r="H45" s="347"/>
      <c r="I45" s="347"/>
      <c r="J45" s="347"/>
      <c r="K45" s="352"/>
    </row>
    <row r="46" spans="1:255" ht="13.5" thickBot="1" x14ac:dyDescent="0.25">
      <c r="A46" s="49">
        <v>1</v>
      </c>
      <c r="B46" s="49">
        <v>2</v>
      </c>
      <c r="C46" s="49">
        <v>3</v>
      </c>
      <c r="D46" s="49">
        <v>4</v>
      </c>
      <c r="E46" s="49">
        <v>5</v>
      </c>
      <c r="F46" s="49">
        <v>6</v>
      </c>
      <c r="G46" s="49">
        <v>7</v>
      </c>
      <c r="H46" s="49">
        <v>8</v>
      </c>
      <c r="I46" s="49">
        <v>9</v>
      </c>
      <c r="J46" s="49">
        <v>10</v>
      </c>
      <c r="K46" s="49">
        <v>11</v>
      </c>
    </row>
    <row r="47" spans="1:25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255" x14ac:dyDescent="0.2">
      <c r="A48" s="51"/>
      <c r="B48" s="51"/>
      <c r="C48" s="353" t="s">
        <v>21</v>
      </c>
      <c r="D48" s="353"/>
      <c r="E48" s="353"/>
      <c r="F48" s="353"/>
      <c r="G48" s="353"/>
      <c r="H48" s="353"/>
      <c r="I48" s="353"/>
      <c r="J48" s="353"/>
      <c r="K48" s="35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52" t="str">
        <f>C48</f>
        <v>Организация дорожного движения</v>
      </c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</row>
    <row r="49" spans="1:255" ht="13.5" thickBot="1" x14ac:dyDescent="0.25"/>
    <row r="50" spans="1:255" ht="36" x14ac:dyDescent="0.2">
      <c r="A50" s="54">
        <v>1</v>
      </c>
      <c r="B50" s="62" t="s">
        <v>23</v>
      </c>
      <c r="C50" s="55" t="s">
        <v>24</v>
      </c>
      <c r="D50" s="56" t="s">
        <v>25</v>
      </c>
      <c r="E50" s="57">
        <v>0.64600000000000002</v>
      </c>
      <c r="F50" s="58">
        <f>Source!AK26</f>
        <v>1276.5</v>
      </c>
      <c r="G50" s="63" t="s">
        <v>3</v>
      </c>
      <c r="H50" s="58"/>
      <c r="I50" s="59">
        <f>SUM(DQ50:DQ62)</f>
        <v>209</v>
      </c>
      <c r="J50" s="60" t="s">
        <v>23</v>
      </c>
      <c r="K50" s="61" t="e">
        <f>SUM(DS50:DS62)</f>
        <v>#REF!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</row>
    <row r="51" spans="1:255" x14ac:dyDescent="0.2">
      <c r="A51" s="65"/>
      <c r="B51" s="67" t="str">
        <f>IF(Source!I26=0.646," Расчет объема","")</f>
        <v xml:space="preserve"> Расчет объема</v>
      </c>
      <c r="C51" s="67" t="str">
        <f>IF(Source!I26=0.646,"   (564+12+70)/1000 = 0,646","")</f>
        <v xml:space="preserve">   (564+12+70)/1000 = 0,646</v>
      </c>
      <c r="D51" s="64"/>
      <c r="E51" s="64"/>
      <c r="F51" s="64"/>
      <c r="G51" s="64"/>
      <c r="H51" s="64"/>
      <c r="I51" s="64"/>
      <c r="J51" s="64"/>
      <c r="K51" s="66"/>
    </row>
    <row r="52" spans="1:255" x14ac:dyDescent="0.2">
      <c r="A52" s="70"/>
      <c r="B52" s="71"/>
      <c r="C52" s="71" t="s">
        <v>358</v>
      </c>
      <c r="D52" s="72"/>
      <c r="E52" s="73"/>
      <c r="F52" s="74">
        <v>28.33</v>
      </c>
      <c r="G52" s="75"/>
      <c r="H52" s="74">
        <f>Source!AF26</f>
        <v>28.33</v>
      </c>
      <c r="I52" s="76">
        <f>T52</f>
        <v>18</v>
      </c>
      <c r="J52" s="77">
        <v>38</v>
      </c>
      <c r="K52" s="78">
        <f>U52</f>
        <v>695</v>
      </c>
      <c r="O52" s="23"/>
      <c r="P52" s="23"/>
      <c r="Q52" s="23"/>
      <c r="R52" s="23"/>
      <c r="S52" s="23"/>
      <c r="T52" s="23">
        <f>ROUND(Source!AF26*Source!AV26*Source!I26,0)</f>
        <v>18</v>
      </c>
      <c r="U52" s="23">
        <f>Source!S26</f>
        <v>695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>
        <v>1</v>
      </c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>
        <f>Source!S26</f>
        <v>695</v>
      </c>
      <c r="DH52" s="23">
        <v>1010</v>
      </c>
      <c r="DI52" s="23"/>
      <c r="DJ52" s="23"/>
      <c r="DK52" s="23"/>
      <c r="DL52" s="23"/>
      <c r="DM52" s="23"/>
      <c r="DN52" s="23"/>
      <c r="DO52" s="23"/>
      <c r="DP52" s="23"/>
      <c r="DQ52" s="23">
        <f>T52</f>
        <v>18</v>
      </c>
      <c r="DR52" s="23"/>
      <c r="DS52" s="23">
        <f>U52</f>
        <v>695</v>
      </c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>
        <f>T52</f>
        <v>18</v>
      </c>
      <c r="GK52" s="23">
        <f>T52</f>
        <v>18</v>
      </c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>
        <f>T52</f>
        <v>18</v>
      </c>
      <c r="HC52" s="23"/>
      <c r="HD52" s="23"/>
      <c r="HE52" s="23"/>
      <c r="HF52" s="23">
        <f>T52</f>
        <v>18</v>
      </c>
      <c r="HG52" s="23"/>
      <c r="HH52" s="23"/>
      <c r="HI52" s="23"/>
      <c r="HJ52" s="23"/>
      <c r="HK52" s="23"/>
      <c r="HL52" s="23">
        <f>T52</f>
        <v>18</v>
      </c>
      <c r="HM52" s="23"/>
      <c r="HN52" s="23">
        <f>T52</f>
        <v>18</v>
      </c>
      <c r="HO52" s="23"/>
      <c r="HP52" s="23"/>
      <c r="HQ52" s="23"/>
      <c r="HR52" s="23"/>
      <c r="HS52" s="23"/>
      <c r="HT52" s="23"/>
      <c r="HU52" s="23"/>
      <c r="HV52" s="23"/>
      <c r="HW52" s="23"/>
      <c r="HX52" s="23">
        <f>T52</f>
        <v>18</v>
      </c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</row>
    <row r="53" spans="1:255" x14ac:dyDescent="0.2">
      <c r="A53" s="70"/>
      <c r="B53" s="71"/>
      <c r="C53" s="71" t="s">
        <v>359</v>
      </c>
      <c r="D53" s="72"/>
      <c r="E53" s="73"/>
      <c r="F53" s="74">
        <v>167.75</v>
      </c>
      <c r="G53" s="75"/>
      <c r="H53" s="74">
        <f>Source!AD26</f>
        <v>167.75</v>
      </c>
      <c r="I53" s="76">
        <f>T53</f>
        <v>108</v>
      </c>
      <c r="J53" s="77">
        <v>9.3000000000000007</v>
      </c>
      <c r="K53" s="78">
        <f>U53</f>
        <v>1008</v>
      </c>
      <c r="O53" s="23"/>
      <c r="P53" s="23"/>
      <c r="Q53" s="23"/>
      <c r="R53" s="23"/>
      <c r="S53" s="23"/>
      <c r="T53" s="23">
        <f>ROUND(Source!AD26*Source!AV26*Source!I26,0)</f>
        <v>108</v>
      </c>
      <c r="U53" s="23">
        <f>Source!Q26</f>
        <v>1008</v>
      </c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>
        <v>1</v>
      </c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>
        <f>T53</f>
        <v>108</v>
      </c>
      <c r="DR53" s="23"/>
      <c r="DS53" s="23">
        <f>U53</f>
        <v>1008</v>
      </c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>
        <f>T53</f>
        <v>108</v>
      </c>
      <c r="GK53" s="23"/>
      <c r="GL53" s="23">
        <f>T53</f>
        <v>108</v>
      </c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>
        <f>T53</f>
        <v>108</v>
      </c>
      <c r="HC53" s="23"/>
      <c r="HD53" s="23"/>
      <c r="HE53" s="23"/>
      <c r="HF53" s="23">
        <f>T53</f>
        <v>108</v>
      </c>
      <c r="HG53" s="23"/>
      <c r="HH53" s="23"/>
      <c r="HI53" s="23"/>
      <c r="HJ53" s="23"/>
      <c r="HK53" s="23"/>
      <c r="HL53" s="23">
        <f>T53</f>
        <v>108</v>
      </c>
      <c r="HM53" s="23"/>
      <c r="HN53" s="23">
        <f>T53</f>
        <v>108</v>
      </c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1:255" x14ac:dyDescent="0.2">
      <c r="A54" s="70"/>
      <c r="B54" s="71"/>
      <c r="C54" s="71" t="s">
        <v>360</v>
      </c>
      <c r="D54" s="72"/>
      <c r="E54" s="73"/>
      <c r="F54" s="74">
        <v>25.79</v>
      </c>
      <c r="G54" s="75"/>
      <c r="H54" s="74">
        <f>Source!AE26</f>
        <v>25.79</v>
      </c>
      <c r="I54" s="76">
        <f>GM54</f>
        <v>17</v>
      </c>
      <c r="J54" s="77">
        <v>19.8</v>
      </c>
      <c r="K54" s="78">
        <f>Source!R26</f>
        <v>330</v>
      </c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>
        <f>ROUND(Source!AE26*Source!AV26*Source!I26,0)</f>
        <v>17</v>
      </c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>
        <f>GM54</f>
        <v>17</v>
      </c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</row>
    <row r="55" spans="1:255" x14ac:dyDescent="0.2">
      <c r="A55" s="80"/>
      <c r="B55" s="81"/>
      <c r="C55" s="81" t="s">
        <v>361</v>
      </c>
      <c r="D55" s="82"/>
      <c r="E55" s="83">
        <v>142</v>
      </c>
      <c r="F55" s="84" t="s">
        <v>362</v>
      </c>
      <c r="G55" s="85"/>
      <c r="H55" s="86">
        <f>ROUND((Source!AF26*Source!AV26+Source!AE26*Source!AV26)*(Source!FX26)/100,2)</f>
        <v>76.849999999999994</v>
      </c>
      <c r="I55" s="87">
        <f>T55</f>
        <v>50</v>
      </c>
      <c r="J55" s="89">
        <v>1.35</v>
      </c>
      <c r="K55" s="88" t="e">
        <f>U55</f>
        <v>#REF!</v>
      </c>
      <c r="O55" s="23"/>
      <c r="P55" s="23"/>
      <c r="Q55" s="23"/>
      <c r="R55" s="23"/>
      <c r="S55" s="23"/>
      <c r="T55" s="23">
        <f>ROUND((ROUND(Source!AF26*Source!AV26*Source!I26,0)+ROUND(Source!AE26*Source!AV26*Source!I26,0))*(Source!DN26)/100,0)</f>
        <v>50</v>
      </c>
      <c r="U55" s="23" t="e">
        <f>Source!X26</f>
        <v>#REF!</v>
      </c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>
        <v>1</v>
      </c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>
        <f>T55</f>
        <v>50</v>
      </c>
      <c r="DR55" s="23"/>
      <c r="DS55" s="23" t="e">
        <f>U55</f>
        <v>#REF!</v>
      </c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>
        <f>T55</f>
        <v>50</v>
      </c>
      <c r="GZ55" s="23"/>
      <c r="HA55" s="23"/>
      <c r="HB55" s="23">
        <f>T55</f>
        <v>50</v>
      </c>
      <c r="HC55" s="23"/>
      <c r="HD55" s="23"/>
      <c r="HE55" s="23"/>
      <c r="HF55" s="23">
        <f>T55</f>
        <v>50</v>
      </c>
      <c r="HG55" s="23"/>
      <c r="HH55" s="23"/>
      <c r="HI55" s="23"/>
      <c r="HJ55" s="23"/>
      <c r="HK55" s="23"/>
      <c r="HL55" s="23">
        <f>T55</f>
        <v>50</v>
      </c>
      <c r="HM55" s="23"/>
      <c r="HN55" s="23">
        <f>T55</f>
        <v>50</v>
      </c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</row>
    <row r="56" spans="1:255" x14ac:dyDescent="0.2">
      <c r="A56" s="80"/>
      <c r="B56" s="81"/>
      <c r="C56" s="81" t="s">
        <v>363</v>
      </c>
      <c r="D56" s="82"/>
      <c r="E56" s="83">
        <v>95</v>
      </c>
      <c r="F56" s="84" t="s">
        <v>362</v>
      </c>
      <c r="G56" s="85"/>
      <c r="H56" s="86">
        <f>ROUND((Source!AF26*Source!AV26+Source!AE26*Source!AV26)*(Source!FY26)/100,2)</f>
        <v>51.41</v>
      </c>
      <c r="I56" s="87">
        <f>T56</f>
        <v>33</v>
      </c>
      <c r="J56" s="89">
        <v>0.81</v>
      </c>
      <c r="K56" s="88" t="e">
        <f>U56</f>
        <v>#REF!</v>
      </c>
      <c r="O56" s="23"/>
      <c r="P56" s="23"/>
      <c r="Q56" s="23"/>
      <c r="R56" s="23"/>
      <c r="S56" s="23"/>
      <c r="T56" s="23">
        <f>ROUND((ROUND(Source!AF26*Source!AV26*Source!I26,0)+ROUND(Source!AE26*Source!AV26*Source!I26,0))*(Source!DO26)/100,0)</f>
        <v>33</v>
      </c>
      <c r="U56" s="23" t="e">
        <f>Source!Y26</f>
        <v>#REF!</v>
      </c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>
        <v>1</v>
      </c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>
        <f>T56</f>
        <v>33</v>
      </c>
      <c r="DR56" s="23"/>
      <c r="DS56" s="23" t="e">
        <f>U56</f>
        <v>#REF!</v>
      </c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>
        <f>T56</f>
        <v>33</v>
      </c>
      <c r="HA56" s="23"/>
      <c r="HB56" s="23">
        <f>T56</f>
        <v>33</v>
      </c>
      <c r="HC56" s="23"/>
      <c r="HD56" s="23"/>
      <c r="HE56" s="23"/>
      <c r="HF56" s="23">
        <f>T56</f>
        <v>33</v>
      </c>
      <c r="HG56" s="23"/>
      <c r="HH56" s="23"/>
      <c r="HI56" s="23"/>
      <c r="HJ56" s="23"/>
      <c r="HK56" s="23"/>
      <c r="HL56" s="23">
        <f>T56</f>
        <v>33</v>
      </c>
      <c r="HM56" s="23"/>
      <c r="HN56" s="23">
        <f>T56</f>
        <v>33</v>
      </c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</row>
    <row r="57" spans="1:255" x14ac:dyDescent="0.2">
      <c r="A57" s="70"/>
      <c r="B57" s="71"/>
      <c r="C57" s="71" t="s">
        <v>364</v>
      </c>
      <c r="D57" s="72" t="s">
        <v>365</v>
      </c>
      <c r="E57" s="73">
        <v>3.66</v>
      </c>
      <c r="F57" s="74"/>
      <c r="G57" s="75"/>
      <c r="H57" s="74" t="e">
        <f>ROUND(Source!AH26,2)</f>
        <v>#REF!</v>
      </c>
      <c r="I57" s="90" t="e">
        <f>Source!U26</f>
        <v>#REF!</v>
      </c>
      <c r="J57" s="77"/>
      <c r="K57" s="78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</row>
    <row r="58" spans="1:255" ht="24" x14ac:dyDescent="0.2">
      <c r="A58" s="93" t="s">
        <v>30</v>
      </c>
      <c r="B58" s="102" t="s">
        <v>31</v>
      </c>
      <c r="C58" s="94" t="s">
        <v>32</v>
      </c>
      <c r="D58" s="95" t="s">
        <v>33</v>
      </c>
      <c r="E58" s="96">
        <f>Source!I28</f>
        <v>5.1699999999999999E-4</v>
      </c>
      <c r="F58" s="97">
        <v>40650</v>
      </c>
      <c r="G58" s="98"/>
      <c r="H58" s="97">
        <f>Source!AC27</f>
        <v>40650</v>
      </c>
      <c r="I58" s="99">
        <f>T58</f>
        <v>21</v>
      </c>
      <c r="J58" s="100" t="s">
        <v>366</v>
      </c>
      <c r="K58" s="101">
        <f>U58</f>
        <v>22</v>
      </c>
      <c r="L58" s="23"/>
      <c r="M58" s="23"/>
      <c r="N58" s="23"/>
      <c r="O58" s="23"/>
      <c r="P58" s="23"/>
      <c r="Q58" s="23"/>
      <c r="R58" s="23"/>
      <c r="S58" s="23"/>
      <c r="T58" s="23">
        <f>ROUND(Source!AC27*Source!AW27*Source!I27,0)</f>
        <v>21</v>
      </c>
      <c r="U58" s="23">
        <f>Source!P28</f>
        <v>22</v>
      </c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>
        <v>1</v>
      </c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>
        <f>T58</f>
        <v>21</v>
      </c>
      <c r="DL58" s="23"/>
      <c r="DM58" s="23">
        <f>Source!P28</f>
        <v>22</v>
      </c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>
        <f>T58</f>
        <v>21</v>
      </c>
      <c r="GK58" s="23"/>
      <c r="GL58" s="23"/>
      <c r="GM58" s="23"/>
      <c r="GN58" s="23">
        <f>T58</f>
        <v>21</v>
      </c>
      <c r="GO58" s="23"/>
      <c r="GP58" s="23">
        <f>T58</f>
        <v>21</v>
      </c>
      <c r="GQ58" s="23">
        <f>T58</f>
        <v>21</v>
      </c>
      <c r="GR58" s="23"/>
      <c r="GS58" s="23">
        <f>T58</f>
        <v>21</v>
      </c>
      <c r="GT58" s="23"/>
      <c r="GU58" s="23"/>
      <c r="GV58" s="23"/>
      <c r="GW58" s="23"/>
      <c r="GX58" s="23"/>
      <c r="GY58" s="23"/>
      <c r="GZ58" s="23"/>
      <c r="HA58" s="23"/>
      <c r="HB58" s="23">
        <f>T58</f>
        <v>21</v>
      </c>
      <c r="HC58" s="23"/>
      <c r="HD58" s="23"/>
      <c r="HE58" s="23"/>
      <c r="HF58" s="23">
        <f>T58</f>
        <v>21</v>
      </c>
      <c r="HG58" s="23"/>
      <c r="HH58" s="23"/>
      <c r="HI58" s="23"/>
      <c r="HJ58" s="23"/>
      <c r="HK58" s="23"/>
      <c r="HL58" s="23">
        <f>T58</f>
        <v>21</v>
      </c>
      <c r="HM58" s="23"/>
      <c r="HN58" s="23">
        <f>T58</f>
        <v>21</v>
      </c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</row>
    <row r="59" spans="1:255" x14ac:dyDescent="0.2">
      <c r="A59" s="65"/>
      <c r="B59" s="104" t="s">
        <v>367</v>
      </c>
      <c r="C59" s="104" t="s">
        <v>368</v>
      </c>
      <c r="D59" s="64"/>
      <c r="E59" s="64"/>
      <c r="F59" s="64"/>
      <c r="G59" s="64"/>
      <c r="H59" s="64"/>
      <c r="I59" s="64"/>
      <c r="J59" s="64"/>
      <c r="K59" s="66"/>
    </row>
    <row r="60" spans="1:255" x14ac:dyDescent="0.2">
      <c r="A60" s="107" t="s">
        <v>41</v>
      </c>
      <c r="B60" s="108" t="s">
        <v>42</v>
      </c>
      <c r="C60" s="109" t="s">
        <v>43</v>
      </c>
      <c r="D60" s="110" t="s">
        <v>33</v>
      </c>
      <c r="E60" s="111">
        <f>Source!I30</f>
        <v>2.7131999999999996E-2</v>
      </c>
      <c r="F60" s="112">
        <v>24950</v>
      </c>
      <c r="G60" s="113"/>
      <c r="H60" s="112">
        <f>Source!AC29</f>
        <v>24950</v>
      </c>
      <c r="I60" s="114">
        <f>T60</f>
        <v>677</v>
      </c>
      <c r="J60" s="115" t="s">
        <v>366</v>
      </c>
      <c r="K60" s="116">
        <f>U60</f>
        <v>4723</v>
      </c>
      <c r="L60" s="23"/>
      <c r="M60" s="23"/>
      <c r="N60" s="23"/>
      <c r="O60" s="23"/>
      <c r="P60" s="23"/>
      <c r="Q60" s="23"/>
      <c r="R60" s="23"/>
      <c r="S60" s="23"/>
      <c r="T60" s="23">
        <f>ROUND(Source!AC29*Source!AW29*Source!I29,0)</f>
        <v>677</v>
      </c>
      <c r="U60" s="23">
        <f>Source!P30</f>
        <v>4723</v>
      </c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>
        <v>1</v>
      </c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>
        <f>T60</f>
        <v>677</v>
      </c>
      <c r="DL60" s="23"/>
      <c r="DM60" s="23">
        <f>Source!P30</f>
        <v>4723</v>
      </c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>
        <f>T60</f>
        <v>677</v>
      </c>
      <c r="GK60" s="23"/>
      <c r="GL60" s="23"/>
      <c r="GM60" s="23"/>
      <c r="GN60" s="23">
        <f>T60</f>
        <v>677</v>
      </c>
      <c r="GO60" s="23"/>
      <c r="GP60" s="23">
        <f>T60</f>
        <v>677</v>
      </c>
      <c r="GQ60" s="23">
        <f>T60</f>
        <v>677</v>
      </c>
      <c r="GR60" s="23"/>
      <c r="GS60" s="23">
        <f>T60</f>
        <v>677</v>
      </c>
      <c r="GT60" s="23"/>
      <c r="GU60" s="23"/>
      <c r="GV60" s="23"/>
      <c r="GW60" s="23"/>
      <c r="GX60" s="23"/>
      <c r="GY60" s="23"/>
      <c r="GZ60" s="23"/>
      <c r="HA60" s="23"/>
      <c r="HB60" s="23">
        <f>T60</f>
        <v>677</v>
      </c>
      <c r="HC60" s="23"/>
      <c r="HD60" s="23"/>
      <c r="HE60" s="23"/>
      <c r="HF60" s="23">
        <f>T60</f>
        <v>677</v>
      </c>
      <c r="HG60" s="23"/>
      <c r="HH60" s="23"/>
      <c r="HI60" s="23"/>
      <c r="HJ60" s="23"/>
      <c r="HK60" s="23"/>
      <c r="HL60" s="23">
        <f>T60</f>
        <v>677</v>
      </c>
      <c r="HM60" s="23"/>
      <c r="HN60" s="23">
        <f>T60</f>
        <v>677</v>
      </c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</row>
    <row r="61" spans="1:255" x14ac:dyDescent="0.2">
      <c r="A61" s="91"/>
      <c r="B61" s="106" t="s">
        <v>367</v>
      </c>
      <c r="C61" s="106" t="s">
        <v>369</v>
      </c>
      <c r="D61" s="33"/>
      <c r="E61" s="33"/>
      <c r="F61" s="33"/>
      <c r="G61" s="33"/>
      <c r="H61" s="33"/>
      <c r="I61" s="33"/>
      <c r="J61" s="33"/>
      <c r="K61" s="92"/>
    </row>
    <row r="62" spans="1:255" ht="13.5" thickBot="1" x14ac:dyDescent="0.25">
      <c r="A62" s="119"/>
      <c r="B62" s="120"/>
      <c r="C62" s="120" t="s">
        <v>370</v>
      </c>
      <c r="D62" s="120"/>
      <c r="E62" s="120"/>
      <c r="F62" s="120"/>
      <c r="G62" s="120"/>
      <c r="H62" s="354">
        <f>SUM(DK50:DK61)</f>
        <v>698</v>
      </c>
      <c r="I62" s="355"/>
      <c r="J62" s="354">
        <f>SUM(DM50:DM61)</f>
        <v>4745</v>
      </c>
      <c r="K62" s="356"/>
      <c r="L62" s="105"/>
      <c r="M62" s="105"/>
      <c r="N62" s="105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</row>
    <row r="63" spans="1:255" x14ac:dyDescent="0.2">
      <c r="A63" s="118"/>
      <c r="B63" s="117"/>
      <c r="C63" s="117" t="s">
        <v>371</v>
      </c>
      <c r="D63" s="117"/>
      <c r="E63" s="117"/>
      <c r="F63" s="117"/>
      <c r="G63" s="117"/>
      <c r="H63" s="357">
        <f>R63</f>
        <v>907</v>
      </c>
      <c r="I63" s="358"/>
      <c r="J63" s="357" t="e">
        <f>S63</f>
        <v>#REF!</v>
      </c>
      <c r="K63" s="359"/>
      <c r="O63" s="23"/>
      <c r="P63" s="23"/>
      <c r="Q63" s="23"/>
      <c r="R63" s="23">
        <f>SUM(T50:T62)</f>
        <v>907</v>
      </c>
      <c r="S63" s="23" t="e">
        <f>SUM(U50:U62)</f>
        <v>#REF!</v>
      </c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>
        <f>R63</f>
        <v>907</v>
      </c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</row>
    <row r="64" spans="1:255" x14ac:dyDescent="0.2">
      <c r="A64" s="69"/>
      <c r="B64" s="68"/>
      <c r="C64" s="68"/>
      <c r="D64" s="68"/>
      <c r="E64" s="68"/>
      <c r="F64" s="68"/>
      <c r="G64" s="68"/>
      <c r="H64" s="348"/>
      <c r="I64" s="349"/>
      <c r="J64" s="348"/>
      <c r="K64" s="350"/>
    </row>
    <row r="65" spans="1:255" ht="24" x14ac:dyDescent="0.2">
      <c r="A65" s="121">
        <v>2</v>
      </c>
      <c r="B65" s="128" t="s">
        <v>46</v>
      </c>
      <c r="C65" s="122" t="s">
        <v>47</v>
      </c>
      <c r="D65" s="123" t="s">
        <v>25</v>
      </c>
      <c r="E65" s="124">
        <v>3.7499999999999999E-2</v>
      </c>
      <c r="F65" s="125">
        <f>Source!AK32</f>
        <v>4420.2</v>
      </c>
      <c r="G65" s="129" t="s">
        <v>3</v>
      </c>
      <c r="H65" s="125"/>
      <c r="I65" s="126">
        <f>SUM(DQ65:DQ77)</f>
        <v>12</v>
      </c>
      <c r="J65" s="100" t="s">
        <v>46</v>
      </c>
      <c r="K65" s="127" t="e">
        <f>SUM(DS65:DS77)</f>
        <v>#REF!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</row>
    <row r="66" spans="1:255" x14ac:dyDescent="0.2">
      <c r="A66" s="65"/>
      <c r="B66" s="67" t="str">
        <f>IF(Source!I32=0.0375," Расчет объема","")</f>
        <v xml:space="preserve"> Расчет объема</v>
      </c>
      <c r="C66" s="67" t="str">
        <f>IF(Source!I32=0.0375,"   37,5/1/1000 = 0,0375","")</f>
        <v xml:space="preserve">   37,5/1/1000 = 0,0375</v>
      </c>
      <c r="D66" s="64"/>
      <c r="E66" s="64"/>
      <c r="F66" s="64"/>
      <c r="G66" s="64"/>
      <c r="H66" s="64"/>
      <c r="I66" s="64"/>
      <c r="J66" s="64"/>
      <c r="K66" s="66"/>
    </row>
    <row r="67" spans="1:255" x14ac:dyDescent="0.2">
      <c r="A67" s="70"/>
      <c r="B67" s="71"/>
      <c r="C67" s="71" t="s">
        <v>358</v>
      </c>
      <c r="D67" s="72"/>
      <c r="E67" s="73"/>
      <c r="F67" s="74">
        <v>28.33</v>
      </c>
      <c r="G67" s="75"/>
      <c r="H67" s="74">
        <f>Source!AF32</f>
        <v>28.33</v>
      </c>
      <c r="I67" s="76">
        <f>T67</f>
        <v>1</v>
      </c>
      <c r="J67" s="77">
        <v>38</v>
      </c>
      <c r="K67" s="78">
        <f>U67</f>
        <v>40</v>
      </c>
      <c r="O67" s="23"/>
      <c r="P67" s="23"/>
      <c r="Q67" s="23"/>
      <c r="R67" s="23"/>
      <c r="S67" s="23"/>
      <c r="T67" s="23">
        <f>ROUND(Source!AF32*Source!AV32*Source!I32,0)</f>
        <v>1</v>
      </c>
      <c r="U67" s="23">
        <f>Source!S32</f>
        <v>40</v>
      </c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>
        <v>1</v>
      </c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>
        <f>Source!S32</f>
        <v>40</v>
      </c>
      <c r="DH67" s="23">
        <v>1010</v>
      </c>
      <c r="DI67" s="23"/>
      <c r="DJ67" s="23"/>
      <c r="DK67" s="23"/>
      <c r="DL67" s="23"/>
      <c r="DM67" s="23"/>
      <c r="DN67" s="23"/>
      <c r="DO67" s="23"/>
      <c r="DP67" s="23"/>
      <c r="DQ67" s="23">
        <f>T67</f>
        <v>1</v>
      </c>
      <c r="DR67" s="23"/>
      <c r="DS67" s="23">
        <f>U67</f>
        <v>40</v>
      </c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>
        <f>T67</f>
        <v>1</v>
      </c>
      <c r="GK67" s="23">
        <f>T67</f>
        <v>1</v>
      </c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>
        <f>T67</f>
        <v>1</v>
      </c>
      <c r="HC67" s="23"/>
      <c r="HD67" s="23"/>
      <c r="HE67" s="23"/>
      <c r="HF67" s="23">
        <f>T67</f>
        <v>1</v>
      </c>
      <c r="HG67" s="23"/>
      <c r="HH67" s="23"/>
      <c r="HI67" s="23"/>
      <c r="HJ67" s="23"/>
      <c r="HK67" s="23"/>
      <c r="HL67" s="23">
        <f>T67</f>
        <v>1</v>
      </c>
      <c r="HM67" s="23"/>
      <c r="HN67" s="23">
        <f>T67</f>
        <v>1</v>
      </c>
      <c r="HO67" s="23"/>
      <c r="HP67" s="23"/>
      <c r="HQ67" s="23"/>
      <c r="HR67" s="23"/>
      <c r="HS67" s="23"/>
      <c r="HT67" s="23"/>
      <c r="HU67" s="23"/>
      <c r="HV67" s="23"/>
      <c r="HW67" s="23"/>
      <c r="HX67" s="23">
        <f>T67</f>
        <v>1</v>
      </c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</row>
    <row r="68" spans="1:255" x14ac:dyDescent="0.2">
      <c r="A68" s="70"/>
      <c r="B68" s="71"/>
      <c r="C68" s="71" t="s">
        <v>359</v>
      </c>
      <c r="D68" s="72"/>
      <c r="E68" s="73"/>
      <c r="F68" s="74">
        <v>167.75</v>
      </c>
      <c r="G68" s="75"/>
      <c r="H68" s="74">
        <f>Source!AD32</f>
        <v>167.75</v>
      </c>
      <c r="I68" s="76">
        <f>T68</f>
        <v>6</v>
      </c>
      <c r="J68" s="77">
        <v>9.3000000000000007</v>
      </c>
      <c r="K68" s="78">
        <f>U68</f>
        <v>59</v>
      </c>
      <c r="O68" s="23"/>
      <c r="P68" s="23"/>
      <c r="Q68" s="23"/>
      <c r="R68" s="23"/>
      <c r="S68" s="23"/>
      <c r="T68" s="23">
        <f>ROUND(Source!AD32*Source!AV32*Source!I32,0)</f>
        <v>6</v>
      </c>
      <c r="U68" s="23">
        <f>Source!Q32</f>
        <v>59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>
        <v>1</v>
      </c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>
        <f>T68</f>
        <v>6</v>
      </c>
      <c r="DR68" s="23"/>
      <c r="DS68" s="23">
        <f>U68</f>
        <v>59</v>
      </c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>
        <f>T68</f>
        <v>6</v>
      </c>
      <c r="GK68" s="23"/>
      <c r="GL68" s="23">
        <f>T68</f>
        <v>6</v>
      </c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>
        <f>T68</f>
        <v>6</v>
      </c>
      <c r="HC68" s="23"/>
      <c r="HD68" s="23"/>
      <c r="HE68" s="23"/>
      <c r="HF68" s="23">
        <f>T68</f>
        <v>6</v>
      </c>
      <c r="HG68" s="23"/>
      <c r="HH68" s="23"/>
      <c r="HI68" s="23"/>
      <c r="HJ68" s="23"/>
      <c r="HK68" s="23"/>
      <c r="HL68" s="23">
        <f>T68</f>
        <v>6</v>
      </c>
      <c r="HM68" s="23"/>
      <c r="HN68" s="23">
        <f>T68</f>
        <v>6</v>
      </c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</row>
    <row r="69" spans="1:255" x14ac:dyDescent="0.2">
      <c r="A69" s="70"/>
      <c r="B69" s="71"/>
      <c r="C69" s="71" t="s">
        <v>360</v>
      </c>
      <c r="D69" s="72"/>
      <c r="E69" s="73"/>
      <c r="F69" s="74">
        <v>25.79</v>
      </c>
      <c r="G69" s="75"/>
      <c r="H69" s="74">
        <f>Source!AE32</f>
        <v>25.79</v>
      </c>
      <c r="I69" s="76">
        <f>GM69</f>
        <v>1</v>
      </c>
      <c r="J69" s="77">
        <v>19.8</v>
      </c>
      <c r="K69" s="78">
        <f>Source!R32</f>
        <v>19</v>
      </c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>
        <f>ROUND(Source!AE32*Source!AV32*Source!I32,0)</f>
        <v>1</v>
      </c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>
        <f>GM69</f>
        <v>1</v>
      </c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</row>
    <row r="70" spans="1:255" x14ac:dyDescent="0.2">
      <c r="A70" s="80"/>
      <c r="B70" s="81"/>
      <c r="C70" s="81" t="s">
        <v>361</v>
      </c>
      <c r="D70" s="82"/>
      <c r="E70" s="83">
        <v>142</v>
      </c>
      <c r="F70" s="84" t="s">
        <v>362</v>
      </c>
      <c r="G70" s="85"/>
      <c r="H70" s="86">
        <f>ROUND((Source!AF32*Source!AV32+Source!AE32*Source!AV32)*(Source!FX32)/100,2)</f>
        <v>76.849999999999994</v>
      </c>
      <c r="I70" s="87">
        <f>T70</f>
        <v>3</v>
      </c>
      <c r="J70" s="89">
        <v>1.35</v>
      </c>
      <c r="K70" s="88" t="e">
        <f>U70</f>
        <v>#REF!</v>
      </c>
      <c r="O70" s="23"/>
      <c r="P70" s="23"/>
      <c r="Q70" s="23"/>
      <c r="R70" s="23"/>
      <c r="S70" s="23"/>
      <c r="T70" s="23">
        <f>ROUND((ROUND(Source!AF32*Source!AV32*Source!I32,0)+ROUND(Source!AE32*Source!AV32*Source!I32,0))*(Source!DN32)/100,0)</f>
        <v>3</v>
      </c>
      <c r="U70" s="23" t="e">
        <f>Source!X32</f>
        <v>#REF!</v>
      </c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>
        <v>1</v>
      </c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>
        <f>T70</f>
        <v>3</v>
      </c>
      <c r="DR70" s="23"/>
      <c r="DS70" s="23" t="e">
        <f>U70</f>
        <v>#REF!</v>
      </c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>
        <f>T70</f>
        <v>3</v>
      </c>
      <c r="GZ70" s="23"/>
      <c r="HA70" s="23"/>
      <c r="HB70" s="23">
        <f>T70</f>
        <v>3</v>
      </c>
      <c r="HC70" s="23"/>
      <c r="HD70" s="23"/>
      <c r="HE70" s="23"/>
      <c r="HF70" s="23">
        <f>T70</f>
        <v>3</v>
      </c>
      <c r="HG70" s="23"/>
      <c r="HH70" s="23"/>
      <c r="HI70" s="23"/>
      <c r="HJ70" s="23"/>
      <c r="HK70" s="23"/>
      <c r="HL70" s="23">
        <f>T70</f>
        <v>3</v>
      </c>
      <c r="HM70" s="23"/>
      <c r="HN70" s="23">
        <f>T70</f>
        <v>3</v>
      </c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</row>
    <row r="71" spans="1:255" x14ac:dyDescent="0.2">
      <c r="A71" s="80"/>
      <c r="B71" s="81"/>
      <c r="C71" s="81" t="s">
        <v>363</v>
      </c>
      <c r="D71" s="82"/>
      <c r="E71" s="83">
        <v>95</v>
      </c>
      <c r="F71" s="84" t="s">
        <v>362</v>
      </c>
      <c r="G71" s="85"/>
      <c r="H71" s="86">
        <f>ROUND((Source!AF32*Source!AV32+Source!AE32*Source!AV32)*(Source!FY32)/100,2)</f>
        <v>51.41</v>
      </c>
      <c r="I71" s="87">
        <f>T71</f>
        <v>2</v>
      </c>
      <c r="J71" s="89">
        <v>0.81</v>
      </c>
      <c r="K71" s="88" t="e">
        <f>U71</f>
        <v>#REF!</v>
      </c>
      <c r="O71" s="23"/>
      <c r="P71" s="23"/>
      <c r="Q71" s="23"/>
      <c r="R71" s="23"/>
      <c r="S71" s="23"/>
      <c r="T71" s="23">
        <f>ROUND((ROUND(Source!AF32*Source!AV32*Source!I32,0)+ROUND(Source!AE32*Source!AV32*Source!I32,0))*(Source!DO32)/100,0)</f>
        <v>2</v>
      </c>
      <c r="U71" s="23" t="e">
        <f>Source!Y32</f>
        <v>#REF!</v>
      </c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>
        <v>1</v>
      </c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>
        <f>T71</f>
        <v>2</v>
      </c>
      <c r="DR71" s="23"/>
      <c r="DS71" s="23" t="e">
        <f>U71</f>
        <v>#REF!</v>
      </c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>
        <f>T71</f>
        <v>2</v>
      </c>
      <c r="HA71" s="23"/>
      <c r="HB71" s="23">
        <f>T71</f>
        <v>2</v>
      </c>
      <c r="HC71" s="23"/>
      <c r="HD71" s="23"/>
      <c r="HE71" s="23"/>
      <c r="HF71" s="23">
        <f>T71</f>
        <v>2</v>
      </c>
      <c r="HG71" s="23"/>
      <c r="HH71" s="23"/>
      <c r="HI71" s="23"/>
      <c r="HJ71" s="23"/>
      <c r="HK71" s="23"/>
      <c r="HL71" s="23">
        <f>T71</f>
        <v>2</v>
      </c>
      <c r="HM71" s="23"/>
      <c r="HN71" s="23">
        <f>T71</f>
        <v>2</v>
      </c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</row>
    <row r="72" spans="1:255" x14ac:dyDescent="0.2">
      <c r="A72" s="70"/>
      <c r="B72" s="71"/>
      <c r="C72" s="71" t="s">
        <v>364</v>
      </c>
      <c r="D72" s="72" t="s">
        <v>365</v>
      </c>
      <c r="E72" s="73">
        <v>3.66</v>
      </c>
      <c r="F72" s="74"/>
      <c r="G72" s="75"/>
      <c r="H72" s="74" t="e">
        <f>ROUND(Source!AH32,2)</f>
        <v>#REF!</v>
      </c>
      <c r="I72" s="90" t="e">
        <f>Source!U32</f>
        <v>#REF!</v>
      </c>
      <c r="J72" s="77"/>
      <c r="K72" s="78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</row>
    <row r="73" spans="1:255" ht="24" x14ac:dyDescent="0.2">
      <c r="A73" s="93" t="s">
        <v>49</v>
      </c>
      <c r="B73" s="102" t="s">
        <v>31</v>
      </c>
      <c r="C73" s="94" t="s">
        <v>32</v>
      </c>
      <c r="D73" s="95" t="s">
        <v>33</v>
      </c>
      <c r="E73" s="96">
        <f>Source!I34</f>
        <v>3.0000000000000001E-5</v>
      </c>
      <c r="F73" s="97">
        <v>40650</v>
      </c>
      <c r="G73" s="98"/>
      <c r="H73" s="97">
        <f>Source!AC33</f>
        <v>40650</v>
      </c>
      <c r="I73" s="99">
        <f>T73</f>
        <v>1</v>
      </c>
      <c r="J73" s="100" t="s">
        <v>366</v>
      </c>
      <c r="K73" s="101">
        <f>U73</f>
        <v>1</v>
      </c>
      <c r="L73" s="23"/>
      <c r="M73" s="23"/>
      <c r="N73" s="23"/>
      <c r="O73" s="23"/>
      <c r="P73" s="23"/>
      <c r="Q73" s="23"/>
      <c r="R73" s="23"/>
      <c r="S73" s="23"/>
      <c r="T73" s="23">
        <f>ROUND(Source!AC33*Source!AW33*Source!I33,0)</f>
        <v>1</v>
      </c>
      <c r="U73" s="23">
        <f>Source!P34</f>
        <v>1</v>
      </c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>
        <v>1</v>
      </c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>
        <f>T73</f>
        <v>1</v>
      </c>
      <c r="DL73" s="23"/>
      <c r="DM73" s="23">
        <f>Source!P34</f>
        <v>1</v>
      </c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>
        <f>T73</f>
        <v>1</v>
      </c>
      <c r="GK73" s="23"/>
      <c r="GL73" s="23"/>
      <c r="GM73" s="23"/>
      <c r="GN73" s="23">
        <f>T73</f>
        <v>1</v>
      </c>
      <c r="GO73" s="23"/>
      <c r="GP73" s="23">
        <f>T73</f>
        <v>1</v>
      </c>
      <c r="GQ73" s="23">
        <f>T73</f>
        <v>1</v>
      </c>
      <c r="GR73" s="23"/>
      <c r="GS73" s="23">
        <f>T73</f>
        <v>1</v>
      </c>
      <c r="GT73" s="23"/>
      <c r="GU73" s="23"/>
      <c r="GV73" s="23"/>
      <c r="GW73" s="23"/>
      <c r="GX73" s="23"/>
      <c r="GY73" s="23"/>
      <c r="GZ73" s="23"/>
      <c r="HA73" s="23"/>
      <c r="HB73" s="23">
        <f>T73</f>
        <v>1</v>
      </c>
      <c r="HC73" s="23"/>
      <c r="HD73" s="23"/>
      <c r="HE73" s="23"/>
      <c r="HF73" s="23">
        <f>T73</f>
        <v>1</v>
      </c>
      <c r="HG73" s="23"/>
      <c r="HH73" s="23"/>
      <c r="HI73" s="23"/>
      <c r="HJ73" s="23"/>
      <c r="HK73" s="23"/>
      <c r="HL73" s="23">
        <f>T73</f>
        <v>1</v>
      </c>
      <c r="HM73" s="23"/>
      <c r="HN73" s="23">
        <f>T73</f>
        <v>1</v>
      </c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</row>
    <row r="74" spans="1:255" x14ac:dyDescent="0.2">
      <c r="A74" s="65"/>
      <c r="B74" s="104" t="s">
        <v>367</v>
      </c>
      <c r="C74" s="104" t="s">
        <v>372</v>
      </c>
      <c r="D74" s="64"/>
      <c r="E74" s="64"/>
      <c r="F74" s="64"/>
      <c r="G74" s="64"/>
      <c r="H74" s="64"/>
      <c r="I74" s="64"/>
      <c r="J74" s="64"/>
      <c r="K74" s="66"/>
    </row>
    <row r="75" spans="1:255" x14ac:dyDescent="0.2">
      <c r="A75" s="107" t="s">
        <v>53</v>
      </c>
      <c r="B75" s="108" t="s">
        <v>42</v>
      </c>
      <c r="C75" s="109" t="s">
        <v>54</v>
      </c>
      <c r="D75" s="110" t="s">
        <v>33</v>
      </c>
      <c r="E75" s="111">
        <f>Source!I36</f>
        <v>6.3E-3</v>
      </c>
      <c r="F75" s="112">
        <v>24950</v>
      </c>
      <c r="G75" s="113"/>
      <c r="H75" s="112">
        <f>Source!AC35</f>
        <v>24950</v>
      </c>
      <c r="I75" s="114">
        <f>T75</f>
        <v>157</v>
      </c>
      <c r="J75" s="115" t="s">
        <v>366</v>
      </c>
      <c r="K75" s="116">
        <f>U75</f>
        <v>1043</v>
      </c>
      <c r="L75" s="23"/>
      <c r="M75" s="23"/>
      <c r="N75" s="23"/>
      <c r="O75" s="23"/>
      <c r="P75" s="23"/>
      <c r="Q75" s="23"/>
      <c r="R75" s="23"/>
      <c r="S75" s="23"/>
      <c r="T75" s="23">
        <f>ROUND(Source!AC35*Source!AW35*Source!I35,0)</f>
        <v>157</v>
      </c>
      <c r="U75" s="23">
        <f>Source!P36</f>
        <v>1043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>
        <v>1</v>
      </c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>
        <f>T75</f>
        <v>157</v>
      </c>
      <c r="DL75" s="23"/>
      <c r="DM75" s="23">
        <f>Source!P36</f>
        <v>1043</v>
      </c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>
        <f>T75</f>
        <v>157</v>
      </c>
      <c r="GK75" s="23"/>
      <c r="GL75" s="23"/>
      <c r="GM75" s="23"/>
      <c r="GN75" s="23">
        <f>T75</f>
        <v>157</v>
      </c>
      <c r="GO75" s="23"/>
      <c r="GP75" s="23">
        <f>T75</f>
        <v>157</v>
      </c>
      <c r="GQ75" s="23">
        <f>T75</f>
        <v>157</v>
      </c>
      <c r="GR75" s="23"/>
      <c r="GS75" s="23">
        <f>T75</f>
        <v>157</v>
      </c>
      <c r="GT75" s="23"/>
      <c r="GU75" s="23"/>
      <c r="GV75" s="23"/>
      <c r="GW75" s="23"/>
      <c r="GX75" s="23"/>
      <c r="GY75" s="23"/>
      <c r="GZ75" s="23"/>
      <c r="HA75" s="23"/>
      <c r="HB75" s="23">
        <f>T75</f>
        <v>157</v>
      </c>
      <c r="HC75" s="23"/>
      <c r="HD75" s="23"/>
      <c r="HE75" s="23"/>
      <c r="HF75" s="23">
        <f>T75</f>
        <v>157</v>
      </c>
      <c r="HG75" s="23"/>
      <c r="HH75" s="23"/>
      <c r="HI75" s="23"/>
      <c r="HJ75" s="23"/>
      <c r="HK75" s="23"/>
      <c r="HL75" s="23">
        <f>T75</f>
        <v>157</v>
      </c>
      <c r="HM75" s="23"/>
      <c r="HN75" s="23">
        <f>T75</f>
        <v>157</v>
      </c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</row>
    <row r="76" spans="1:255" x14ac:dyDescent="0.2">
      <c r="A76" s="91"/>
      <c r="B76" s="106" t="s">
        <v>367</v>
      </c>
      <c r="C76" s="106" t="s">
        <v>373</v>
      </c>
      <c r="D76" s="33"/>
      <c r="E76" s="33"/>
      <c r="F76" s="33"/>
      <c r="G76" s="33"/>
      <c r="H76" s="33"/>
      <c r="I76" s="33"/>
      <c r="J76" s="33"/>
      <c r="K76" s="92"/>
    </row>
    <row r="77" spans="1:255" ht="13.5" thickBot="1" x14ac:dyDescent="0.25">
      <c r="A77" s="119"/>
      <c r="B77" s="120"/>
      <c r="C77" s="120" t="s">
        <v>370</v>
      </c>
      <c r="D77" s="120"/>
      <c r="E77" s="120"/>
      <c r="F77" s="120"/>
      <c r="G77" s="120"/>
      <c r="H77" s="354">
        <f>SUM(DK65:DK76)</f>
        <v>158</v>
      </c>
      <c r="I77" s="355"/>
      <c r="J77" s="354">
        <f>SUM(DM65:DM76)</f>
        <v>1044</v>
      </c>
      <c r="K77" s="356"/>
      <c r="L77" s="105"/>
      <c r="M77" s="105"/>
      <c r="N77" s="105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</row>
    <row r="78" spans="1:255" x14ac:dyDescent="0.2">
      <c r="A78" s="118"/>
      <c r="B78" s="117"/>
      <c r="C78" s="117" t="s">
        <v>371</v>
      </c>
      <c r="D78" s="117"/>
      <c r="E78" s="117"/>
      <c r="F78" s="117"/>
      <c r="G78" s="117"/>
      <c r="H78" s="357">
        <f>R78</f>
        <v>170</v>
      </c>
      <c r="I78" s="358"/>
      <c r="J78" s="357" t="e">
        <f>S78</f>
        <v>#REF!</v>
      </c>
      <c r="K78" s="359"/>
      <c r="O78" s="23"/>
      <c r="P78" s="23"/>
      <c r="Q78" s="23"/>
      <c r="R78" s="23">
        <f>SUM(T65:T77)</f>
        <v>170</v>
      </c>
      <c r="S78" s="23" t="e">
        <f>SUM(U65:U77)</f>
        <v>#REF!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>
        <f>R78</f>
        <v>170</v>
      </c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</row>
    <row r="79" spans="1:255" x14ac:dyDescent="0.2">
      <c r="A79" s="69"/>
      <c r="B79" s="68"/>
      <c r="C79" s="68"/>
      <c r="D79" s="68"/>
      <c r="E79" s="68"/>
      <c r="F79" s="68"/>
      <c r="G79" s="68"/>
      <c r="H79" s="348"/>
      <c r="I79" s="349"/>
      <c r="J79" s="348"/>
      <c r="K79" s="350"/>
    </row>
    <row r="80" spans="1:255" ht="36" x14ac:dyDescent="0.2">
      <c r="A80" s="121">
        <v>3</v>
      </c>
      <c r="B80" s="128" t="s">
        <v>58</v>
      </c>
      <c r="C80" s="122" t="s">
        <v>59</v>
      </c>
      <c r="D80" s="123" t="s">
        <v>60</v>
      </c>
      <c r="E80" s="124">
        <v>1.6400000000000001E-2</v>
      </c>
      <c r="F80" s="125">
        <f>Source!AK38</f>
        <v>24538.39</v>
      </c>
      <c r="G80" s="129" t="s">
        <v>3</v>
      </c>
      <c r="H80" s="125"/>
      <c r="I80" s="126">
        <f>SUM(DQ80:DQ96)</f>
        <v>295</v>
      </c>
      <c r="J80" s="100" t="s">
        <v>58</v>
      </c>
      <c r="K80" s="127" t="e">
        <f>SUM(DS80:DS96)</f>
        <v>#REF!</v>
      </c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</row>
    <row r="81" spans="1:255" x14ac:dyDescent="0.2">
      <c r="A81" s="65"/>
      <c r="B81" s="67" t="str">
        <f>IF(Source!I38=0.0164," Расчет объема","")</f>
        <v xml:space="preserve"> Расчет объема</v>
      </c>
      <c r="C81" s="67" t="str">
        <f>IF(Source!I38=0.0164,"   8,2*2/1000 = 0,0164","")</f>
        <v xml:space="preserve">   8,2*2/1000 = 0,0164</v>
      </c>
      <c r="D81" s="64"/>
      <c r="E81" s="64"/>
      <c r="F81" s="64"/>
      <c r="G81" s="64"/>
      <c r="H81" s="64"/>
      <c r="I81" s="64"/>
      <c r="J81" s="64"/>
      <c r="K81" s="66"/>
    </row>
    <row r="82" spans="1:255" x14ac:dyDescent="0.2">
      <c r="A82" s="70"/>
      <c r="B82" s="71"/>
      <c r="C82" s="71" t="s">
        <v>358</v>
      </c>
      <c r="D82" s="72"/>
      <c r="E82" s="73"/>
      <c r="F82" s="74">
        <v>3474.87</v>
      </c>
      <c r="G82" s="75"/>
      <c r="H82" s="74">
        <f>Source!AF38</f>
        <v>3474.87</v>
      </c>
      <c r="I82" s="76">
        <f>T82</f>
        <v>57</v>
      </c>
      <c r="J82" s="77">
        <v>38</v>
      </c>
      <c r="K82" s="78">
        <f>U82</f>
        <v>2166</v>
      </c>
      <c r="O82" s="23"/>
      <c r="P82" s="23"/>
      <c r="Q82" s="23"/>
      <c r="R82" s="23"/>
      <c r="S82" s="23"/>
      <c r="T82" s="23">
        <f>ROUND(Source!AF38*Source!AV38*Source!I38,0)</f>
        <v>57</v>
      </c>
      <c r="U82" s="23">
        <f>Source!S38</f>
        <v>2166</v>
      </c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>
        <v>1</v>
      </c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>
        <f>Source!S38</f>
        <v>2166</v>
      </c>
      <c r="DH82" s="23">
        <v>1010</v>
      </c>
      <c r="DI82" s="23"/>
      <c r="DJ82" s="23"/>
      <c r="DK82" s="23"/>
      <c r="DL82" s="23"/>
      <c r="DM82" s="23"/>
      <c r="DN82" s="23"/>
      <c r="DO82" s="23"/>
      <c r="DP82" s="23"/>
      <c r="DQ82" s="23">
        <f>T82</f>
        <v>57</v>
      </c>
      <c r="DR82" s="23"/>
      <c r="DS82" s="23">
        <f>U82</f>
        <v>2166</v>
      </c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>
        <f>T82</f>
        <v>57</v>
      </c>
      <c r="GK82" s="23">
        <f>T82</f>
        <v>57</v>
      </c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>
        <f>T82</f>
        <v>57</v>
      </c>
      <c r="HC82" s="23"/>
      <c r="HD82" s="23"/>
      <c r="HE82" s="23"/>
      <c r="HF82" s="23">
        <f>T82</f>
        <v>57</v>
      </c>
      <c r="HG82" s="23"/>
      <c r="HH82" s="23"/>
      <c r="HI82" s="23"/>
      <c r="HJ82" s="23"/>
      <c r="HK82" s="23"/>
      <c r="HL82" s="23">
        <f>T82</f>
        <v>57</v>
      </c>
      <c r="HM82" s="23"/>
      <c r="HN82" s="23">
        <f>T82</f>
        <v>57</v>
      </c>
      <c r="HO82" s="23"/>
      <c r="HP82" s="23"/>
      <c r="HQ82" s="23"/>
      <c r="HR82" s="23"/>
      <c r="HS82" s="23"/>
      <c r="HT82" s="23"/>
      <c r="HU82" s="23"/>
      <c r="HV82" s="23"/>
      <c r="HW82" s="23"/>
      <c r="HX82" s="23">
        <f>T82</f>
        <v>57</v>
      </c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</row>
    <row r="83" spans="1:255" x14ac:dyDescent="0.2">
      <c r="A83" s="70"/>
      <c r="B83" s="71"/>
      <c r="C83" s="71" t="s">
        <v>359</v>
      </c>
      <c r="D83" s="72"/>
      <c r="E83" s="73"/>
      <c r="F83" s="74">
        <v>5098.99</v>
      </c>
      <c r="G83" s="75"/>
      <c r="H83" s="74">
        <f>Source!AD38</f>
        <v>5098.99</v>
      </c>
      <c r="I83" s="76">
        <f>T83</f>
        <v>84</v>
      </c>
      <c r="J83" s="77">
        <v>9.3000000000000007</v>
      </c>
      <c r="K83" s="78">
        <f>U83</f>
        <v>778</v>
      </c>
      <c r="O83" s="23"/>
      <c r="P83" s="23"/>
      <c r="Q83" s="23"/>
      <c r="R83" s="23"/>
      <c r="S83" s="23"/>
      <c r="T83" s="23">
        <f>ROUND(Source!AD38*Source!AV38*Source!I38,0)</f>
        <v>84</v>
      </c>
      <c r="U83" s="23">
        <f>Source!Q38</f>
        <v>778</v>
      </c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>
        <v>1</v>
      </c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>
        <f>T83</f>
        <v>84</v>
      </c>
      <c r="DR83" s="23"/>
      <c r="DS83" s="23">
        <f>U83</f>
        <v>778</v>
      </c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>
        <f>T83</f>
        <v>84</v>
      </c>
      <c r="GK83" s="23"/>
      <c r="GL83" s="23">
        <f>T83</f>
        <v>84</v>
      </c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>
        <f>T83</f>
        <v>84</v>
      </c>
      <c r="HC83" s="23"/>
      <c r="HD83" s="23"/>
      <c r="HE83" s="23"/>
      <c r="HF83" s="23">
        <f>T83</f>
        <v>84</v>
      </c>
      <c r="HG83" s="23"/>
      <c r="HH83" s="23"/>
      <c r="HI83" s="23"/>
      <c r="HJ83" s="23"/>
      <c r="HK83" s="23"/>
      <c r="HL83" s="23">
        <f>T83</f>
        <v>84</v>
      </c>
      <c r="HM83" s="23"/>
      <c r="HN83" s="23">
        <f>T83</f>
        <v>84</v>
      </c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</row>
    <row r="84" spans="1:255" x14ac:dyDescent="0.2">
      <c r="A84" s="70"/>
      <c r="B84" s="71"/>
      <c r="C84" s="71" t="s">
        <v>360</v>
      </c>
      <c r="D84" s="72"/>
      <c r="E84" s="73"/>
      <c r="F84" s="74">
        <v>514.12</v>
      </c>
      <c r="G84" s="75"/>
      <c r="H84" s="74">
        <f>Source!AE38</f>
        <v>514.12</v>
      </c>
      <c r="I84" s="76">
        <f>GM84</f>
        <v>8</v>
      </c>
      <c r="J84" s="77">
        <v>19.8</v>
      </c>
      <c r="K84" s="78">
        <f>Source!R38</f>
        <v>167</v>
      </c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>
        <f>ROUND(Source!AE38*Source!AV38*Source!I38,0)</f>
        <v>8</v>
      </c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>
        <f>GM84</f>
        <v>8</v>
      </c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</row>
    <row r="85" spans="1:255" x14ac:dyDescent="0.2">
      <c r="A85" s="80"/>
      <c r="B85" s="81"/>
      <c r="C85" s="81" t="s">
        <v>361</v>
      </c>
      <c r="D85" s="82"/>
      <c r="E85" s="83">
        <v>142</v>
      </c>
      <c r="F85" s="84" t="s">
        <v>362</v>
      </c>
      <c r="G85" s="85"/>
      <c r="H85" s="86">
        <f>ROUND((Source!AF38*Source!AV38+Source!AE38*Source!AV38)*(Source!FX38)/100,2)</f>
        <v>5664.37</v>
      </c>
      <c r="I85" s="87">
        <f>T85</f>
        <v>92</v>
      </c>
      <c r="J85" s="89">
        <v>1.35</v>
      </c>
      <c r="K85" s="88" t="e">
        <f>U85</f>
        <v>#REF!</v>
      </c>
      <c r="O85" s="23"/>
      <c r="P85" s="23"/>
      <c r="Q85" s="23"/>
      <c r="R85" s="23"/>
      <c r="S85" s="23"/>
      <c r="T85" s="23">
        <f>ROUND((ROUND(Source!AF38*Source!AV38*Source!I38,0)+ROUND(Source!AE38*Source!AV38*Source!I38,0))*(Source!DN38)/100,0)</f>
        <v>92</v>
      </c>
      <c r="U85" s="23" t="e">
        <f>Source!X38</f>
        <v>#REF!</v>
      </c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>
        <v>1</v>
      </c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>
        <f>T85</f>
        <v>92</v>
      </c>
      <c r="DR85" s="23"/>
      <c r="DS85" s="23" t="e">
        <f>U85</f>
        <v>#REF!</v>
      </c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>
        <f>T85</f>
        <v>92</v>
      </c>
      <c r="GZ85" s="23"/>
      <c r="HA85" s="23"/>
      <c r="HB85" s="23">
        <f>T85</f>
        <v>92</v>
      </c>
      <c r="HC85" s="23"/>
      <c r="HD85" s="23"/>
      <c r="HE85" s="23"/>
      <c r="HF85" s="23">
        <f>T85</f>
        <v>92</v>
      </c>
      <c r="HG85" s="23"/>
      <c r="HH85" s="23"/>
      <c r="HI85" s="23"/>
      <c r="HJ85" s="23"/>
      <c r="HK85" s="23"/>
      <c r="HL85" s="23">
        <f>T85</f>
        <v>92</v>
      </c>
      <c r="HM85" s="23"/>
      <c r="HN85" s="23">
        <f>T85</f>
        <v>92</v>
      </c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</row>
    <row r="86" spans="1:255" x14ac:dyDescent="0.2">
      <c r="A86" s="80"/>
      <c r="B86" s="81"/>
      <c r="C86" s="81" t="s">
        <v>363</v>
      </c>
      <c r="D86" s="82"/>
      <c r="E86" s="83">
        <v>95</v>
      </c>
      <c r="F86" s="84" t="s">
        <v>362</v>
      </c>
      <c r="G86" s="85"/>
      <c r="H86" s="86">
        <f>ROUND((Source!AF38*Source!AV38+Source!AE38*Source!AV38)*(Source!FY38)/100,2)</f>
        <v>3789.54</v>
      </c>
      <c r="I86" s="87">
        <f>T86</f>
        <v>62</v>
      </c>
      <c r="J86" s="89">
        <v>0.81</v>
      </c>
      <c r="K86" s="88" t="e">
        <f>U86</f>
        <v>#REF!</v>
      </c>
      <c r="O86" s="23"/>
      <c r="P86" s="23"/>
      <c r="Q86" s="23"/>
      <c r="R86" s="23"/>
      <c r="S86" s="23"/>
      <c r="T86" s="23">
        <f>ROUND((ROUND(Source!AF38*Source!AV38*Source!I38,0)+ROUND(Source!AE38*Source!AV38*Source!I38,0))*(Source!DO38)/100,0)</f>
        <v>62</v>
      </c>
      <c r="U86" s="23" t="e">
        <f>Source!Y38</f>
        <v>#REF!</v>
      </c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>
        <v>1</v>
      </c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>
        <f>T86</f>
        <v>62</v>
      </c>
      <c r="DR86" s="23"/>
      <c r="DS86" s="23" t="e">
        <f>U86</f>
        <v>#REF!</v>
      </c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>
        <f>T86</f>
        <v>62</v>
      </c>
      <c r="HA86" s="23"/>
      <c r="HB86" s="23">
        <f>T86</f>
        <v>62</v>
      </c>
      <c r="HC86" s="23"/>
      <c r="HD86" s="23"/>
      <c r="HE86" s="23"/>
      <c r="HF86" s="23">
        <f>T86</f>
        <v>62</v>
      </c>
      <c r="HG86" s="23"/>
      <c r="HH86" s="23"/>
      <c r="HI86" s="23"/>
      <c r="HJ86" s="23"/>
      <c r="HK86" s="23"/>
      <c r="HL86" s="23">
        <f>T86</f>
        <v>62</v>
      </c>
      <c r="HM86" s="23"/>
      <c r="HN86" s="23">
        <f>T86</f>
        <v>62</v>
      </c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</row>
    <row r="87" spans="1:255" x14ac:dyDescent="0.2">
      <c r="A87" s="70"/>
      <c r="B87" s="71"/>
      <c r="C87" s="71" t="s">
        <v>364</v>
      </c>
      <c r="D87" s="72" t="s">
        <v>365</v>
      </c>
      <c r="E87" s="73">
        <v>407.37</v>
      </c>
      <c r="F87" s="74"/>
      <c r="G87" s="75"/>
      <c r="H87" s="74" t="e">
        <f>ROUND(Source!AH38,2)</f>
        <v>#REF!</v>
      </c>
      <c r="I87" s="90" t="e">
        <f>Source!U38</f>
        <v>#REF!</v>
      </c>
      <c r="J87" s="77"/>
      <c r="K87" s="78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</row>
    <row r="88" spans="1:255" ht="36" x14ac:dyDescent="0.2">
      <c r="A88" s="93" t="s">
        <v>39</v>
      </c>
      <c r="B88" s="102" t="s">
        <v>62</v>
      </c>
      <c r="C88" s="94" t="s">
        <v>63</v>
      </c>
      <c r="D88" s="95" t="s">
        <v>33</v>
      </c>
      <c r="E88" s="96">
        <f>Source!I40</f>
        <v>1.5E-5</v>
      </c>
      <c r="F88" s="97">
        <v>15801.24</v>
      </c>
      <c r="G88" s="98"/>
      <c r="H88" s="97">
        <f>Source!AC39</f>
        <v>15801.24</v>
      </c>
      <c r="I88" s="99">
        <f>T88</f>
        <v>0</v>
      </c>
      <c r="J88" s="100" t="s">
        <v>366</v>
      </c>
      <c r="K88" s="101">
        <f>U88</f>
        <v>1</v>
      </c>
      <c r="L88" s="23"/>
      <c r="M88" s="23"/>
      <c r="N88" s="23"/>
      <c r="O88" s="23"/>
      <c r="P88" s="23"/>
      <c r="Q88" s="23"/>
      <c r="R88" s="23"/>
      <c r="S88" s="23"/>
      <c r="T88" s="23">
        <f>ROUND(Source!AC39*Source!AW39*Source!I39,0)</f>
        <v>0</v>
      </c>
      <c r="U88" s="23">
        <f>Source!P40</f>
        <v>1</v>
      </c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>
        <v>1</v>
      </c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>
        <f>T88</f>
        <v>0</v>
      </c>
      <c r="DL88" s="23"/>
      <c r="DM88" s="23">
        <f>Source!P40</f>
        <v>1</v>
      </c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>
        <f>T88</f>
        <v>0</v>
      </c>
      <c r="GK88" s="23"/>
      <c r="GL88" s="23"/>
      <c r="GM88" s="23"/>
      <c r="GN88" s="23">
        <f>T88</f>
        <v>0</v>
      </c>
      <c r="GO88" s="23"/>
      <c r="GP88" s="23">
        <f>T88</f>
        <v>0</v>
      </c>
      <c r="GQ88" s="23">
        <f>T88</f>
        <v>0</v>
      </c>
      <c r="GR88" s="23"/>
      <c r="GS88" s="23">
        <f>T88</f>
        <v>0</v>
      </c>
      <c r="GT88" s="23"/>
      <c r="GU88" s="23"/>
      <c r="GV88" s="23"/>
      <c r="GW88" s="23"/>
      <c r="GX88" s="23"/>
      <c r="GY88" s="23"/>
      <c r="GZ88" s="23"/>
      <c r="HA88" s="23"/>
      <c r="HB88" s="23">
        <f>T88</f>
        <v>0</v>
      </c>
      <c r="HC88" s="23"/>
      <c r="HD88" s="23"/>
      <c r="HE88" s="23"/>
      <c r="HF88" s="23">
        <f>T88</f>
        <v>0</v>
      </c>
      <c r="HG88" s="23"/>
      <c r="HH88" s="23"/>
      <c r="HI88" s="23"/>
      <c r="HJ88" s="23"/>
      <c r="HK88" s="23"/>
      <c r="HL88" s="23">
        <f>T88</f>
        <v>0</v>
      </c>
      <c r="HM88" s="23"/>
      <c r="HN88" s="23">
        <f>T88</f>
        <v>0</v>
      </c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</row>
    <row r="89" spans="1:255" x14ac:dyDescent="0.2">
      <c r="A89" s="65"/>
      <c r="B89" s="104" t="s">
        <v>367</v>
      </c>
      <c r="C89" s="104" t="s">
        <v>374</v>
      </c>
      <c r="D89" s="64"/>
      <c r="E89" s="64"/>
      <c r="F89" s="64"/>
      <c r="G89" s="64"/>
      <c r="H89" s="64"/>
      <c r="I89" s="64"/>
      <c r="J89" s="64"/>
      <c r="K89" s="66"/>
    </row>
    <row r="90" spans="1:255" x14ac:dyDescent="0.2">
      <c r="A90" s="93" t="s">
        <v>66</v>
      </c>
      <c r="B90" s="102" t="s">
        <v>67</v>
      </c>
      <c r="C90" s="94" t="s">
        <v>68</v>
      </c>
      <c r="D90" s="95" t="s">
        <v>69</v>
      </c>
      <c r="E90" s="96">
        <f>Source!I42</f>
        <v>2</v>
      </c>
      <c r="F90" s="97">
        <v>285.57</v>
      </c>
      <c r="G90" s="98"/>
      <c r="H90" s="97">
        <f>Source!AC41</f>
        <v>285.57</v>
      </c>
      <c r="I90" s="99">
        <f>T90</f>
        <v>571</v>
      </c>
      <c r="J90" s="100" t="s">
        <v>366</v>
      </c>
      <c r="K90" s="101">
        <f>U90</f>
        <v>3628</v>
      </c>
      <c r="L90" s="23"/>
      <c r="M90" s="23"/>
      <c r="N90" s="23"/>
      <c r="O90" s="23"/>
      <c r="P90" s="23"/>
      <c r="Q90" s="23"/>
      <c r="R90" s="23"/>
      <c r="S90" s="23"/>
      <c r="T90" s="23">
        <f>ROUND(Source!AC41*Source!AW41*Source!I41,0)</f>
        <v>571</v>
      </c>
      <c r="U90" s="23">
        <f>Source!P42</f>
        <v>3628</v>
      </c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>
        <v>1</v>
      </c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>
        <f>T90</f>
        <v>571</v>
      </c>
      <c r="DL90" s="23"/>
      <c r="DM90" s="23">
        <f>Source!P42</f>
        <v>3628</v>
      </c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>
        <f>T90</f>
        <v>571</v>
      </c>
      <c r="GK90" s="23"/>
      <c r="GL90" s="23"/>
      <c r="GM90" s="23"/>
      <c r="GN90" s="23">
        <f>T90</f>
        <v>571</v>
      </c>
      <c r="GO90" s="23"/>
      <c r="GP90" s="23">
        <f>T90</f>
        <v>571</v>
      </c>
      <c r="GQ90" s="23">
        <f>T90</f>
        <v>571</v>
      </c>
      <c r="GR90" s="23"/>
      <c r="GS90" s="23">
        <f>T90</f>
        <v>571</v>
      </c>
      <c r="GT90" s="23"/>
      <c r="GU90" s="23"/>
      <c r="GV90" s="23"/>
      <c r="GW90" s="23"/>
      <c r="GX90" s="23"/>
      <c r="GY90" s="23"/>
      <c r="GZ90" s="23"/>
      <c r="HA90" s="23"/>
      <c r="HB90" s="23">
        <f>T90</f>
        <v>571</v>
      </c>
      <c r="HC90" s="23"/>
      <c r="HD90" s="23"/>
      <c r="HE90" s="23"/>
      <c r="HF90" s="23">
        <f>T90</f>
        <v>571</v>
      </c>
      <c r="HG90" s="23"/>
      <c r="HH90" s="23"/>
      <c r="HI90" s="23"/>
      <c r="HJ90" s="23"/>
      <c r="HK90" s="23"/>
      <c r="HL90" s="23">
        <f>T90</f>
        <v>571</v>
      </c>
      <c r="HM90" s="23"/>
      <c r="HN90" s="23">
        <f>T90</f>
        <v>571</v>
      </c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</row>
    <row r="91" spans="1:255" x14ac:dyDescent="0.2">
      <c r="A91" s="65"/>
      <c r="B91" s="104" t="s">
        <v>367</v>
      </c>
      <c r="C91" s="104" t="s">
        <v>375</v>
      </c>
      <c r="D91" s="64"/>
      <c r="E91" s="64"/>
      <c r="F91" s="64"/>
      <c r="G91" s="64"/>
      <c r="H91" s="64"/>
      <c r="I91" s="64"/>
      <c r="J91" s="64"/>
      <c r="K91" s="66"/>
    </row>
    <row r="92" spans="1:255" ht="24" x14ac:dyDescent="0.2">
      <c r="A92" s="93" t="s">
        <v>72</v>
      </c>
      <c r="B92" s="102" t="s">
        <v>73</v>
      </c>
      <c r="C92" s="94" t="s">
        <v>74</v>
      </c>
      <c r="D92" s="95" t="s">
        <v>75</v>
      </c>
      <c r="E92" s="96">
        <f>Source!I44</f>
        <v>0.156</v>
      </c>
      <c r="F92" s="97">
        <v>737.83</v>
      </c>
      <c r="G92" s="98"/>
      <c r="H92" s="97">
        <f>Source!AC43</f>
        <v>737.83</v>
      </c>
      <c r="I92" s="99">
        <f>T92</f>
        <v>115</v>
      </c>
      <c r="J92" s="100" t="s">
        <v>366</v>
      </c>
      <c r="K92" s="101">
        <f>U92</f>
        <v>860</v>
      </c>
      <c r="L92" s="23"/>
      <c r="M92" s="23"/>
      <c r="N92" s="23"/>
      <c r="O92" s="23"/>
      <c r="P92" s="23"/>
      <c r="Q92" s="23"/>
      <c r="R92" s="23"/>
      <c r="S92" s="23"/>
      <c r="T92" s="23">
        <f>ROUND(Source!AC43*Source!AW43*Source!I43,0)</f>
        <v>115</v>
      </c>
      <c r="U92" s="23">
        <f>Source!P44</f>
        <v>860</v>
      </c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>
        <v>1</v>
      </c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>
        <f>T92</f>
        <v>115</v>
      </c>
      <c r="DL92" s="23"/>
      <c r="DM92" s="23">
        <f>Source!P44</f>
        <v>860</v>
      </c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>
        <f>T92</f>
        <v>115</v>
      </c>
      <c r="GK92" s="23"/>
      <c r="GL92" s="23"/>
      <c r="GM92" s="23"/>
      <c r="GN92" s="23">
        <f>T92</f>
        <v>115</v>
      </c>
      <c r="GO92" s="23"/>
      <c r="GP92" s="23">
        <f>T92</f>
        <v>115</v>
      </c>
      <c r="GQ92" s="23">
        <f>T92</f>
        <v>115</v>
      </c>
      <c r="GR92" s="23"/>
      <c r="GS92" s="23">
        <f>T92</f>
        <v>115</v>
      </c>
      <c r="GT92" s="23"/>
      <c r="GU92" s="23"/>
      <c r="GV92" s="23"/>
      <c r="GW92" s="23"/>
      <c r="GX92" s="23"/>
      <c r="GY92" s="23"/>
      <c r="GZ92" s="23"/>
      <c r="HA92" s="23"/>
      <c r="HB92" s="23">
        <f>T92</f>
        <v>115</v>
      </c>
      <c r="HC92" s="23"/>
      <c r="HD92" s="23"/>
      <c r="HE92" s="23"/>
      <c r="HF92" s="23">
        <f>T92</f>
        <v>115</v>
      </c>
      <c r="HG92" s="23"/>
      <c r="HH92" s="23"/>
      <c r="HI92" s="23"/>
      <c r="HJ92" s="23"/>
      <c r="HK92" s="23"/>
      <c r="HL92" s="23">
        <f>T92</f>
        <v>115</v>
      </c>
      <c r="HM92" s="23"/>
      <c r="HN92" s="23">
        <f>T92</f>
        <v>115</v>
      </c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</row>
    <row r="93" spans="1:255" x14ac:dyDescent="0.2">
      <c r="A93" s="65"/>
      <c r="B93" s="104" t="s">
        <v>367</v>
      </c>
      <c r="C93" s="104" t="s">
        <v>376</v>
      </c>
      <c r="D93" s="64"/>
      <c r="E93" s="64"/>
      <c r="F93" s="64"/>
      <c r="G93" s="64"/>
      <c r="H93" s="64"/>
      <c r="I93" s="64"/>
      <c r="J93" s="64"/>
      <c r="K93" s="66"/>
    </row>
    <row r="94" spans="1:255" ht="72" x14ac:dyDescent="0.2">
      <c r="A94" s="107" t="s">
        <v>81</v>
      </c>
      <c r="B94" s="108" t="s">
        <v>82</v>
      </c>
      <c r="C94" s="109" t="s">
        <v>83</v>
      </c>
      <c r="D94" s="110" t="s">
        <v>69</v>
      </c>
      <c r="E94" s="111">
        <f>Source!I46</f>
        <v>2</v>
      </c>
      <c r="F94" s="112">
        <v>521.52</v>
      </c>
      <c r="G94" s="113"/>
      <c r="H94" s="112">
        <f>Source!AC45</f>
        <v>521.52</v>
      </c>
      <c r="I94" s="114">
        <f>T94</f>
        <v>1043</v>
      </c>
      <c r="J94" s="115" t="s">
        <v>366</v>
      </c>
      <c r="K94" s="116">
        <f>U94</f>
        <v>2261</v>
      </c>
      <c r="L94" s="23"/>
      <c r="M94" s="23"/>
      <c r="N94" s="23"/>
      <c r="O94" s="23"/>
      <c r="P94" s="23"/>
      <c r="Q94" s="23"/>
      <c r="R94" s="23"/>
      <c r="S94" s="23"/>
      <c r="T94" s="23">
        <f>ROUND(Source!AC45*Source!AW45*Source!I45,0)</f>
        <v>1043</v>
      </c>
      <c r="U94" s="23">
        <f>Source!P46</f>
        <v>2261</v>
      </c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>
        <v>1</v>
      </c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>
        <f>T94</f>
        <v>1043</v>
      </c>
      <c r="DL94" s="23"/>
      <c r="DM94" s="23">
        <f>Source!P46</f>
        <v>2261</v>
      </c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>
        <f>T94</f>
        <v>1043</v>
      </c>
      <c r="GK94" s="23"/>
      <c r="GL94" s="23"/>
      <c r="GM94" s="23"/>
      <c r="GN94" s="23">
        <f>T94</f>
        <v>1043</v>
      </c>
      <c r="GO94" s="23"/>
      <c r="GP94" s="23">
        <f>T94</f>
        <v>1043</v>
      </c>
      <c r="GQ94" s="23">
        <f>T94</f>
        <v>1043</v>
      </c>
      <c r="GR94" s="23"/>
      <c r="GS94" s="23">
        <f>T94</f>
        <v>1043</v>
      </c>
      <c r="GT94" s="23"/>
      <c r="GU94" s="23"/>
      <c r="GV94" s="23"/>
      <c r="GW94" s="23"/>
      <c r="GX94" s="23"/>
      <c r="GY94" s="23"/>
      <c r="GZ94" s="23"/>
      <c r="HA94" s="23"/>
      <c r="HB94" s="23">
        <f>T94</f>
        <v>1043</v>
      </c>
      <c r="HC94" s="23"/>
      <c r="HD94" s="23"/>
      <c r="HE94" s="23"/>
      <c r="HF94" s="23">
        <f>T94</f>
        <v>1043</v>
      </c>
      <c r="HG94" s="23"/>
      <c r="HH94" s="23"/>
      <c r="HI94" s="23"/>
      <c r="HJ94" s="23"/>
      <c r="HK94" s="23"/>
      <c r="HL94" s="23">
        <f>T94</f>
        <v>1043</v>
      </c>
      <c r="HM94" s="23"/>
      <c r="HN94" s="23">
        <f>T94</f>
        <v>1043</v>
      </c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</row>
    <row r="95" spans="1:255" x14ac:dyDescent="0.2">
      <c r="A95" s="91"/>
      <c r="B95" s="106" t="s">
        <v>367</v>
      </c>
      <c r="C95" s="106" t="s">
        <v>377</v>
      </c>
      <c r="D95" s="33"/>
      <c r="E95" s="33"/>
      <c r="F95" s="33"/>
      <c r="G95" s="33"/>
      <c r="H95" s="33"/>
      <c r="I95" s="33"/>
      <c r="J95" s="33"/>
      <c r="K95" s="92"/>
    </row>
    <row r="96" spans="1:255" ht="13.5" thickBot="1" x14ac:dyDescent="0.25">
      <c r="A96" s="119"/>
      <c r="B96" s="120"/>
      <c r="C96" s="120" t="s">
        <v>370</v>
      </c>
      <c r="D96" s="120"/>
      <c r="E96" s="120"/>
      <c r="F96" s="120"/>
      <c r="G96" s="120"/>
      <c r="H96" s="354">
        <f>SUM(DK80:DK95)</f>
        <v>1729</v>
      </c>
      <c r="I96" s="355"/>
      <c r="J96" s="354">
        <f>SUM(DM80:DM95)</f>
        <v>6750</v>
      </c>
      <c r="K96" s="356"/>
      <c r="L96" s="105"/>
      <c r="M96" s="105"/>
      <c r="N96" s="105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</row>
    <row r="97" spans="1:255" x14ac:dyDescent="0.2">
      <c r="A97" s="118"/>
      <c r="B97" s="117"/>
      <c r="C97" s="117" t="s">
        <v>371</v>
      </c>
      <c r="D97" s="117"/>
      <c r="E97" s="117"/>
      <c r="F97" s="117"/>
      <c r="G97" s="117"/>
      <c r="H97" s="357">
        <f>R97</f>
        <v>2024</v>
      </c>
      <c r="I97" s="358"/>
      <c r="J97" s="357" t="e">
        <f>S97</f>
        <v>#REF!</v>
      </c>
      <c r="K97" s="359"/>
      <c r="O97" s="23"/>
      <c r="P97" s="23"/>
      <c r="Q97" s="23"/>
      <c r="R97" s="23">
        <f>SUM(T80:T96)</f>
        <v>2024</v>
      </c>
      <c r="S97" s="23" t="e">
        <f>SUM(U80:U96)</f>
        <v>#REF!</v>
      </c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>
        <f>R97</f>
        <v>2024</v>
      </c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</row>
    <row r="98" spans="1:255" x14ac:dyDescent="0.2">
      <c r="A98" s="69"/>
      <c r="B98" s="68"/>
      <c r="C98" s="68"/>
      <c r="D98" s="68"/>
      <c r="E98" s="68"/>
      <c r="F98" s="68"/>
      <c r="G98" s="68"/>
      <c r="H98" s="348"/>
      <c r="I98" s="349"/>
      <c r="J98" s="348"/>
      <c r="K98" s="350"/>
    </row>
    <row r="99" spans="1:255" ht="36" x14ac:dyDescent="0.2">
      <c r="A99" s="121">
        <v>4</v>
      </c>
      <c r="B99" s="128" t="s">
        <v>87</v>
      </c>
      <c r="C99" s="122" t="s">
        <v>88</v>
      </c>
      <c r="D99" s="123" t="s">
        <v>89</v>
      </c>
      <c r="E99" s="124">
        <v>0.02</v>
      </c>
      <c r="F99" s="125">
        <f>Source!AK48</f>
        <v>882.59999999999991</v>
      </c>
      <c r="G99" s="129" t="s">
        <v>3</v>
      </c>
      <c r="H99" s="125"/>
      <c r="I99" s="126">
        <f>SUM(DQ99:DQ106)</f>
        <v>40</v>
      </c>
      <c r="J99" s="100" t="s">
        <v>87</v>
      </c>
      <c r="K99" s="127" t="e">
        <f>SUM(DS99:DS106)</f>
        <v>#REF!</v>
      </c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</row>
    <row r="100" spans="1:255" x14ac:dyDescent="0.2">
      <c r="A100" s="130"/>
      <c r="B100" s="131"/>
      <c r="C100" s="131" t="s">
        <v>358</v>
      </c>
      <c r="D100" s="132"/>
      <c r="E100" s="133"/>
      <c r="F100" s="134">
        <v>593.4</v>
      </c>
      <c r="G100" s="113"/>
      <c r="H100" s="134">
        <f>Source!AF48</f>
        <v>593.4</v>
      </c>
      <c r="I100" s="135">
        <f>T100</f>
        <v>12</v>
      </c>
      <c r="J100" s="115">
        <v>38</v>
      </c>
      <c r="K100" s="136">
        <f>U100</f>
        <v>451</v>
      </c>
      <c r="O100" s="23"/>
      <c r="P100" s="23"/>
      <c r="Q100" s="23"/>
      <c r="R100" s="23"/>
      <c r="S100" s="23"/>
      <c r="T100" s="23">
        <f>ROUND(Source!AF48*Source!AV48*Source!I48,0)</f>
        <v>12</v>
      </c>
      <c r="U100" s="23">
        <f>Source!S48</f>
        <v>451</v>
      </c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>
        <v>1</v>
      </c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>
        <f>Source!S48</f>
        <v>451</v>
      </c>
      <c r="DH100" s="23">
        <v>1010</v>
      </c>
      <c r="DI100" s="23"/>
      <c r="DJ100" s="23"/>
      <c r="DK100" s="23"/>
      <c r="DL100" s="23"/>
      <c r="DM100" s="23"/>
      <c r="DN100" s="23"/>
      <c r="DO100" s="23"/>
      <c r="DP100" s="23"/>
      <c r="DQ100" s="23">
        <f>T100</f>
        <v>12</v>
      </c>
      <c r="DR100" s="23"/>
      <c r="DS100" s="23">
        <f>U100</f>
        <v>451</v>
      </c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>
        <f>T100</f>
        <v>12</v>
      </c>
      <c r="GK100" s="23">
        <f>T100</f>
        <v>12</v>
      </c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>
        <f>T100</f>
        <v>12</v>
      </c>
      <c r="HC100" s="23"/>
      <c r="HD100" s="23"/>
      <c r="HE100" s="23"/>
      <c r="HF100" s="23">
        <f>T100</f>
        <v>12</v>
      </c>
      <c r="HG100" s="23"/>
      <c r="HH100" s="23"/>
      <c r="HI100" s="23"/>
      <c r="HJ100" s="23"/>
      <c r="HK100" s="23"/>
      <c r="HL100" s="23">
        <f>T100</f>
        <v>12</v>
      </c>
      <c r="HM100" s="23"/>
      <c r="HN100" s="23">
        <f>T100</f>
        <v>12</v>
      </c>
      <c r="HO100" s="23"/>
      <c r="HP100" s="23"/>
      <c r="HQ100" s="23"/>
      <c r="HR100" s="23"/>
      <c r="HS100" s="23"/>
      <c r="HT100" s="23"/>
      <c r="HU100" s="23"/>
      <c r="HV100" s="23"/>
      <c r="HW100" s="23"/>
      <c r="HX100" s="23">
        <f>T100</f>
        <v>12</v>
      </c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</row>
    <row r="101" spans="1:255" x14ac:dyDescent="0.2">
      <c r="A101" s="80"/>
      <c r="B101" s="81"/>
      <c r="C101" s="81" t="s">
        <v>361</v>
      </c>
      <c r="D101" s="82"/>
      <c r="E101" s="83">
        <v>142</v>
      </c>
      <c r="F101" s="84" t="s">
        <v>362</v>
      </c>
      <c r="G101" s="85"/>
      <c r="H101" s="86">
        <f>ROUND((Source!AF48*Source!AV48+Source!AE48*Source!AV48)*(Source!FX48)/100,2)</f>
        <v>842.63</v>
      </c>
      <c r="I101" s="87">
        <f>T101</f>
        <v>17</v>
      </c>
      <c r="J101" s="89">
        <v>1.35</v>
      </c>
      <c r="K101" s="88" t="e">
        <f>U101</f>
        <v>#REF!</v>
      </c>
      <c r="O101" s="23"/>
      <c r="P101" s="23"/>
      <c r="Q101" s="23"/>
      <c r="R101" s="23"/>
      <c r="S101" s="23"/>
      <c r="T101" s="23">
        <f>ROUND((ROUND(Source!AF48*Source!AV48*Source!I48,0)+ROUND(Source!AE48*Source!AV48*Source!I48,0))*(Source!DN48)/100,0)</f>
        <v>17</v>
      </c>
      <c r="U101" s="23" t="e">
        <f>Source!X48</f>
        <v>#REF!</v>
      </c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>
        <v>1</v>
      </c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>
        <f>T101</f>
        <v>17</v>
      </c>
      <c r="DR101" s="23"/>
      <c r="DS101" s="23" t="e">
        <f>U101</f>
        <v>#REF!</v>
      </c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>
        <f>T101</f>
        <v>17</v>
      </c>
      <c r="GZ101" s="23"/>
      <c r="HA101" s="23"/>
      <c r="HB101" s="23">
        <f>T101</f>
        <v>17</v>
      </c>
      <c r="HC101" s="23"/>
      <c r="HD101" s="23"/>
      <c r="HE101" s="23"/>
      <c r="HF101" s="23">
        <f>T101</f>
        <v>17</v>
      </c>
      <c r="HG101" s="23"/>
      <c r="HH101" s="23"/>
      <c r="HI101" s="23"/>
      <c r="HJ101" s="23"/>
      <c r="HK101" s="23"/>
      <c r="HL101" s="23">
        <f>T101</f>
        <v>17</v>
      </c>
      <c r="HM101" s="23"/>
      <c r="HN101" s="23">
        <f>T101</f>
        <v>17</v>
      </c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</row>
    <row r="102" spans="1:255" x14ac:dyDescent="0.2">
      <c r="A102" s="80"/>
      <c r="B102" s="81"/>
      <c r="C102" s="81" t="s">
        <v>363</v>
      </c>
      <c r="D102" s="82"/>
      <c r="E102" s="83">
        <v>95</v>
      </c>
      <c r="F102" s="84" t="s">
        <v>362</v>
      </c>
      <c r="G102" s="85"/>
      <c r="H102" s="86">
        <f>ROUND((Source!AF48*Source!AV48+Source!AE48*Source!AV48)*(Source!FY48)/100,2)</f>
        <v>563.73</v>
      </c>
      <c r="I102" s="87">
        <f>T102</f>
        <v>11</v>
      </c>
      <c r="J102" s="89">
        <v>0.81</v>
      </c>
      <c r="K102" s="88" t="e">
        <f>U102</f>
        <v>#REF!</v>
      </c>
      <c r="O102" s="23"/>
      <c r="P102" s="23"/>
      <c r="Q102" s="23"/>
      <c r="R102" s="23"/>
      <c r="S102" s="23"/>
      <c r="T102" s="23">
        <f>ROUND((ROUND(Source!AF48*Source!AV48*Source!I48,0)+ROUND(Source!AE48*Source!AV48*Source!I48,0))*(Source!DO48)/100,0)</f>
        <v>11</v>
      </c>
      <c r="U102" s="23" t="e">
        <f>Source!Y48</f>
        <v>#REF!</v>
      </c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>
        <v>1</v>
      </c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>
        <f>T102</f>
        <v>11</v>
      </c>
      <c r="DR102" s="23"/>
      <c r="DS102" s="23" t="e">
        <f>U102</f>
        <v>#REF!</v>
      </c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>
        <f>T102</f>
        <v>11</v>
      </c>
      <c r="HA102" s="23"/>
      <c r="HB102" s="23">
        <f>T102</f>
        <v>11</v>
      </c>
      <c r="HC102" s="23"/>
      <c r="HD102" s="23"/>
      <c r="HE102" s="23"/>
      <c r="HF102" s="23">
        <f>T102</f>
        <v>11</v>
      </c>
      <c r="HG102" s="23"/>
      <c r="HH102" s="23"/>
      <c r="HI102" s="23"/>
      <c r="HJ102" s="23"/>
      <c r="HK102" s="23"/>
      <c r="HL102" s="23">
        <f>T102</f>
        <v>11</v>
      </c>
      <c r="HM102" s="23"/>
      <c r="HN102" s="23">
        <f>T102</f>
        <v>11</v>
      </c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</row>
    <row r="103" spans="1:255" x14ac:dyDescent="0.2">
      <c r="A103" s="70"/>
      <c r="B103" s="71"/>
      <c r="C103" s="71" t="s">
        <v>364</v>
      </c>
      <c r="D103" s="72" t="s">
        <v>365</v>
      </c>
      <c r="E103" s="73">
        <v>69</v>
      </c>
      <c r="F103" s="74"/>
      <c r="G103" s="75"/>
      <c r="H103" s="74" t="e">
        <f>ROUND(Source!AH48,2)</f>
        <v>#REF!</v>
      </c>
      <c r="I103" s="90" t="e">
        <f>Source!U48</f>
        <v>#REF!</v>
      </c>
      <c r="J103" s="77"/>
      <c r="K103" s="78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</row>
    <row r="104" spans="1:255" ht="72" x14ac:dyDescent="0.2">
      <c r="A104" s="107" t="s">
        <v>91</v>
      </c>
      <c r="B104" s="108" t="s">
        <v>92</v>
      </c>
      <c r="C104" s="109" t="s">
        <v>93</v>
      </c>
      <c r="D104" s="110" t="s">
        <v>69</v>
      </c>
      <c r="E104" s="111">
        <f>Source!I50</f>
        <v>2</v>
      </c>
      <c r="F104" s="112">
        <v>311.23</v>
      </c>
      <c r="G104" s="113"/>
      <c r="H104" s="112">
        <f>Source!AC49</f>
        <v>311.23</v>
      </c>
      <c r="I104" s="114">
        <f>T104</f>
        <v>622</v>
      </c>
      <c r="J104" s="115" t="s">
        <v>366</v>
      </c>
      <c r="K104" s="116">
        <f>U104</f>
        <v>1262</v>
      </c>
      <c r="L104" s="23"/>
      <c r="M104" s="23"/>
      <c r="N104" s="23"/>
      <c r="O104" s="23"/>
      <c r="P104" s="23"/>
      <c r="Q104" s="23"/>
      <c r="R104" s="23"/>
      <c r="S104" s="23"/>
      <c r="T104" s="23">
        <f>ROUND(Source!AC49*Source!AW49*Source!I49,0)</f>
        <v>622</v>
      </c>
      <c r="U104" s="23">
        <f>Source!P50</f>
        <v>1262</v>
      </c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>
        <v>1</v>
      </c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>
        <f>T104</f>
        <v>622</v>
      </c>
      <c r="DL104" s="23"/>
      <c r="DM104" s="23">
        <f>Source!P50</f>
        <v>1262</v>
      </c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>
        <f>T104</f>
        <v>622</v>
      </c>
      <c r="GK104" s="23"/>
      <c r="GL104" s="23"/>
      <c r="GM104" s="23"/>
      <c r="GN104" s="23">
        <f>T104</f>
        <v>622</v>
      </c>
      <c r="GO104" s="23"/>
      <c r="GP104" s="23">
        <f>T104</f>
        <v>622</v>
      </c>
      <c r="GQ104" s="23">
        <f>T104</f>
        <v>622</v>
      </c>
      <c r="GR104" s="23"/>
      <c r="GS104" s="23">
        <f>T104</f>
        <v>622</v>
      </c>
      <c r="GT104" s="23"/>
      <c r="GU104" s="23"/>
      <c r="GV104" s="23"/>
      <c r="GW104" s="23"/>
      <c r="GX104" s="23"/>
      <c r="GY104" s="23"/>
      <c r="GZ104" s="23"/>
      <c r="HA104" s="23"/>
      <c r="HB104" s="23">
        <f>T104</f>
        <v>622</v>
      </c>
      <c r="HC104" s="23"/>
      <c r="HD104" s="23"/>
      <c r="HE104" s="23"/>
      <c r="HF104" s="23">
        <f>T104</f>
        <v>622</v>
      </c>
      <c r="HG104" s="23"/>
      <c r="HH104" s="23"/>
      <c r="HI104" s="23"/>
      <c r="HJ104" s="23"/>
      <c r="HK104" s="23"/>
      <c r="HL104" s="23">
        <f>T104</f>
        <v>622</v>
      </c>
      <c r="HM104" s="23"/>
      <c r="HN104" s="23">
        <f>T104</f>
        <v>622</v>
      </c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</row>
    <row r="105" spans="1:255" x14ac:dyDescent="0.2">
      <c r="A105" s="91"/>
      <c r="B105" s="106" t="s">
        <v>367</v>
      </c>
      <c r="C105" s="106" t="s">
        <v>378</v>
      </c>
      <c r="D105" s="33"/>
      <c r="E105" s="33"/>
      <c r="F105" s="33"/>
      <c r="G105" s="33"/>
      <c r="H105" s="33"/>
      <c r="I105" s="33"/>
      <c r="J105" s="33"/>
      <c r="K105" s="92"/>
    </row>
    <row r="106" spans="1:255" ht="13.5" thickBot="1" x14ac:dyDescent="0.25">
      <c r="A106" s="119"/>
      <c r="B106" s="120"/>
      <c r="C106" s="120" t="s">
        <v>370</v>
      </c>
      <c r="D106" s="120"/>
      <c r="E106" s="120"/>
      <c r="F106" s="120"/>
      <c r="G106" s="120"/>
      <c r="H106" s="354">
        <f>SUM(DK99:DK105)</f>
        <v>622</v>
      </c>
      <c r="I106" s="355"/>
      <c r="J106" s="354">
        <f>SUM(DM99:DM105)</f>
        <v>1262</v>
      </c>
      <c r="K106" s="356"/>
      <c r="L106" s="105"/>
      <c r="M106" s="105"/>
      <c r="N106" s="105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</row>
    <row r="107" spans="1:255" x14ac:dyDescent="0.2">
      <c r="A107" s="118"/>
      <c r="B107" s="117"/>
      <c r="C107" s="117" t="s">
        <v>371</v>
      </c>
      <c r="D107" s="117"/>
      <c r="E107" s="117"/>
      <c r="F107" s="117"/>
      <c r="G107" s="117"/>
      <c r="H107" s="357">
        <f>R107</f>
        <v>662</v>
      </c>
      <c r="I107" s="358"/>
      <c r="J107" s="357" t="e">
        <f>S107</f>
        <v>#REF!</v>
      </c>
      <c r="K107" s="359"/>
      <c r="O107" s="23"/>
      <c r="P107" s="23"/>
      <c r="Q107" s="23"/>
      <c r="R107" s="23">
        <f>SUM(T99:T106)</f>
        <v>662</v>
      </c>
      <c r="S107" s="23" t="e">
        <f>SUM(U99:U106)</f>
        <v>#REF!</v>
      </c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>
        <f>R107</f>
        <v>662</v>
      </c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</row>
    <row r="108" spans="1:255" ht="13.5" thickBot="1" x14ac:dyDescent="0.25">
      <c r="A108" s="69"/>
      <c r="B108" s="68"/>
      <c r="C108" s="68"/>
      <c r="D108" s="68"/>
      <c r="E108" s="68"/>
      <c r="F108" s="68"/>
      <c r="G108" s="68"/>
      <c r="H108" s="348"/>
      <c r="I108" s="349"/>
      <c r="J108" s="348"/>
      <c r="K108" s="350"/>
    </row>
    <row r="109" spans="1:255" x14ac:dyDescent="0.2">
      <c r="A109" s="138"/>
      <c r="B109" s="138"/>
      <c r="C109" s="139" t="s">
        <v>379</v>
      </c>
      <c r="D109" s="139"/>
      <c r="E109" s="139"/>
      <c r="F109" s="139"/>
      <c r="G109" s="139"/>
      <c r="H109" s="139"/>
      <c r="I109" s="140">
        <f>SUM(HA47:HA108)</f>
        <v>3763</v>
      </c>
      <c r="J109" s="139"/>
      <c r="K109" s="140" t="e">
        <f>Source!EJ52</f>
        <v>#REF!</v>
      </c>
      <c r="P109" s="23">
        <f>SUM(R47:R108)</f>
        <v>3763</v>
      </c>
      <c r="Q109" s="23" t="e">
        <f>SUM(S47:S108)</f>
        <v>#REF!</v>
      </c>
      <c r="R109" s="23"/>
      <c r="S109" s="23"/>
      <c r="T109" s="23"/>
      <c r="U109" s="23"/>
      <c r="V109" s="23"/>
      <c r="W109" s="23"/>
    </row>
    <row r="111" spans="1:255" x14ac:dyDescent="0.2">
      <c r="C111" s="142" t="s">
        <v>382</v>
      </c>
      <c r="D111" s="142"/>
      <c r="E111" s="142"/>
      <c r="F111" s="142"/>
      <c r="G111" s="142"/>
      <c r="H111" s="142"/>
      <c r="I111" s="142"/>
      <c r="J111" s="142"/>
      <c r="K111" s="142"/>
    </row>
    <row r="112" spans="1:255" x14ac:dyDescent="0.2">
      <c r="C112" s="13" t="s">
        <v>97</v>
      </c>
      <c r="D112" s="13"/>
      <c r="E112" s="13"/>
      <c r="F112" s="13"/>
      <c r="G112" s="13"/>
      <c r="H112" s="13"/>
      <c r="I112" s="143">
        <f>SUM(GK47:GK108)+SUM(GL47:GL108)+SUM(GQ47:GQ108)+SUM(IA47:IA108)+SUM(HK47:HK108)</f>
        <v>3493</v>
      </c>
      <c r="J112" s="13"/>
      <c r="K112" s="143">
        <f>Source!DK52+Source!DI52+Source!EO52+SUM(DB47:DB108)+SUM(DD47:DD108)</f>
        <v>18998</v>
      </c>
    </row>
    <row r="113" spans="3:11" x14ac:dyDescent="0.2">
      <c r="C113" s="144" t="s">
        <v>382</v>
      </c>
      <c r="D113" s="142"/>
      <c r="E113" s="142"/>
      <c r="F113" s="142"/>
      <c r="G113" s="142"/>
      <c r="H113" s="142"/>
      <c r="I113" s="142"/>
      <c r="J113" s="142"/>
      <c r="K113" s="142"/>
    </row>
    <row r="114" spans="3:11" x14ac:dyDescent="0.2">
      <c r="C114" s="146" t="s">
        <v>383</v>
      </c>
      <c r="D114" s="145"/>
      <c r="E114" s="145"/>
      <c r="F114" s="145"/>
      <c r="G114" s="145"/>
      <c r="H114" s="145"/>
      <c r="I114" s="147">
        <f>SUM(GK47:GK108)</f>
        <v>88</v>
      </c>
      <c r="J114" s="145"/>
      <c r="K114" s="147">
        <f>Source!DK52</f>
        <v>3352</v>
      </c>
    </row>
    <row r="115" spans="3:11" x14ac:dyDescent="0.2">
      <c r="C115" s="148" t="s">
        <v>384</v>
      </c>
      <c r="D115" s="142"/>
      <c r="E115" s="142"/>
      <c r="F115" s="142"/>
      <c r="G115" s="142"/>
      <c r="H115" s="142"/>
      <c r="I115" s="142"/>
      <c r="J115" s="142"/>
      <c r="K115" s="142"/>
    </row>
    <row r="116" spans="3:11" hidden="1" x14ac:dyDescent="0.2">
      <c r="C116" s="149" t="s">
        <v>385</v>
      </c>
      <c r="D116" s="145"/>
      <c r="E116" s="145"/>
      <c r="F116" s="145"/>
      <c r="G116" s="145"/>
      <c r="H116" s="145"/>
      <c r="I116" s="147">
        <f>SUMIF(DH47:DH108,1001,GK47:GK108)</f>
        <v>0</v>
      </c>
      <c r="J116" s="145"/>
      <c r="K116" s="147">
        <f>SUMIF(DH47:DH108,1001,DG47:DG108)</f>
        <v>0</v>
      </c>
    </row>
    <row r="117" spans="3:11" hidden="1" x14ac:dyDescent="0.2">
      <c r="C117" s="149" t="s">
        <v>386</v>
      </c>
      <c r="D117" s="145"/>
      <c r="E117" s="145"/>
      <c r="F117" s="145"/>
      <c r="G117" s="145"/>
      <c r="H117" s="145"/>
      <c r="I117" s="147">
        <f>SUMIF(DH47:DH108,1002,GK47:GK108)</f>
        <v>0</v>
      </c>
      <c r="J117" s="145"/>
      <c r="K117" s="147">
        <f>SUMIF(DH47:DH108,1002,DG47:DG108)</f>
        <v>0</v>
      </c>
    </row>
    <row r="118" spans="3:11" hidden="1" x14ac:dyDescent="0.2">
      <c r="C118" s="149" t="s">
        <v>387</v>
      </c>
      <c r="D118" s="145"/>
      <c r="E118" s="145"/>
      <c r="F118" s="145"/>
      <c r="G118" s="145"/>
      <c r="H118" s="145"/>
      <c r="I118" s="147">
        <f>SUMIF(DH47:DH108,1003,GK47:GK108)</f>
        <v>0</v>
      </c>
      <c r="J118" s="145"/>
      <c r="K118" s="147">
        <f>SUMIF(DH47:DH108,1003,DG47:DG108)</f>
        <v>0</v>
      </c>
    </row>
    <row r="119" spans="3:11" hidden="1" x14ac:dyDescent="0.2">
      <c r="C119" s="149" t="s">
        <v>388</v>
      </c>
      <c r="D119" s="145"/>
      <c r="E119" s="145"/>
      <c r="F119" s="145"/>
      <c r="G119" s="145"/>
      <c r="H119" s="145"/>
      <c r="I119" s="147">
        <f>SUMIF(DH47:DH108,1004,GK47:GK108)</f>
        <v>0</v>
      </c>
      <c r="J119" s="145"/>
      <c r="K119" s="147">
        <f>SUMIF(DH47:DH108,1004,DG47:DG108)</f>
        <v>0</v>
      </c>
    </row>
    <row r="120" spans="3:11" hidden="1" x14ac:dyDescent="0.2">
      <c r="C120" s="149" t="s">
        <v>389</v>
      </c>
      <c r="D120" s="145"/>
      <c r="E120" s="145"/>
      <c r="F120" s="145"/>
      <c r="G120" s="145"/>
      <c r="H120" s="145"/>
      <c r="I120" s="147">
        <f>SUMIF(DH47:DH108,1005,GK47:GK108)</f>
        <v>0</v>
      </c>
      <c r="J120" s="145"/>
      <c r="K120" s="147">
        <f>SUMIF(DH47:DH108,1005,DG47:DG108)</f>
        <v>0</v>
      </c>
    </row>
    <row r="121" spans="3:11" hidden="1" x14ac:dyDescent="0.2">
      <c r="C121" s="149" t="s">
        <v>390</v>
      </c>
      <c r="D121" s="145"/>
      <c r="E121" s="145"/>
      <c r="F121" s="145"/>
      <c r="G121" s="145"/>
      <c r="H121" s="145"/>
      <c r="I121" s="147">
        <f>SUMIF(DH47:DH108,1006,GK47:GK108)</f>
        <v>0</v>
      </c>
      <c r="J121" s="145"/>
      <c r="K121" s="147">
        <f>SUMIF(DH47:DH108,1006,DG47:DG108)</f>
        <v>0</v>
      </c>
    </row>
    <row r="122" spans="3:11" hidden="1" x14ac:dyDescent="0.2">
      <c r="C122" s="149" t="s">
        <v>391</v>
      </c>
      <c r="D122" s="145"/>
      <c r="E122" s="145"/>
      <c r="F122" s="145"/>
      <c r="G122" s="145"/>
      <c r="H122" s="145"/>
      <c r="I122" s="147">
        <f>SUMIF(DH47:DH108,1007,GK47:GK108)</f>
        <v>0</v>
      </c>
      <c r="J122" s="145"/>
      <c r="K122" s="147">
        <f>SUMIF(DH47:DH108,1007,DG47:DG108)</f>
        <v>0</v>
      </c>
    </row>
    <row r="123" spans="3:11" hidden="1" x14ac:dyDescent="0.2">
      <c r="C123" s="149" t="s">
        <v>392</v>
      </c>
      <c r="D123" s="145"/>
      <c r="E123" s="145"/>
      <c r="F123" s="145"/>
      <c r="G123" s="145"/>
      <c r="H123" s="145"/>
      <c r="I123" s="147">
        <f>SUMIF(DH47:DH108,1008,GK47:GK108)</f>
        <v>0</v>
      </c>
      <c r="J123" s="145"/>
      <c r="K123" s="147">
        <f>SUMIF(DH47:DH108,1008,DG47:DG108)</f>
        <v>0</v>
      </c>
    </row>
    <row r="124" spans="3:11" hidden="1" x14ac:dyDescent="0.2">
      <c r="C124" s="149" t="s">
        <v>393</v>
      </c>
      <c r="D124" s="145"/>
      <c r="E124" s="145"/>
      <c r="F124" s="145"/>
      <c r="G124" s="145"/>
      <c r="H124" s="145"/>
      <c r="I124" s="147">
        <f>SUMIF(DH47:DH108,1009,GK47:GK108)</f>
        <v>0</v>
      </c>
      <c r="J124" s="145"/>
      <c r="K124" s="147">
        <f>SUMIF(DH47:DH108,1009,DG47:DG108)</f>
        <v>0</v>
      </c>
    </row>
    <row r="125" spans="3:11" x14ac:dyDescent="0.2">
      <c r="C125" s="149" t="s">
        <v>394</v>
      </c>
      <c r="D125" s="145"/>
      <c r="E125" s="145"/>
      <c r="F125" s="145"/>
      <c r="G125" s="145"/>
      <c r="H125" s="145"/>
      <c r="I125" s="147">
        <f>SUMIF(DH47:DH108,1010,GK47:GK108)</f>
        <v>88</v>
      </c>
      <c r="J125" s="145"/>
      <c r="K125" s="147">
        <f>SUMIF(DH47:DH108,1010,DG47:DG108)</f>
        <v>3352</v>
      </c>
    </row>
    <row r="126" spans="3:11" hidden="1" x14ac:dyDescent="0.2">
      <c r="C126" s="149" t="s">
        <v>395</v>
      </c>
      <c r="D126" s="145"/>
      <c r="E126" s="145"/>
      <c r="F126" s="145"/>
      <c r="G126" s="145"/>
      <c r="H126" s="145"/>
      <c r="I126" s="147">
        <f>SUMIF(DH47:DH108,1011,GK47:GK108)</f>
        <v>0</v>
      </c>
      <c r="J126" s="145"/>
      <c r="K126" s="147">
        <f>SUMIF(DH47:DH108,1011,DG47:DG108)</f>
        <v>0</v>
      </c>
    </row>
    <row r="127" spans="3:11" hidden="1" x14ac:dyDescent="0.2">
      <c r="C127" s="149" t="s">
        <v>396</v>
      </c>
      <c r="D127" s="145"/>
      <c r="E127" s="145"/>
      <c r="F127" s="145"/>
      <c r="G127" s="145"/>
      <c r="H127" s="145"/>
      <c r="I127" s="147">
        <f>SUMIF(DH47:DH108,1012,GK47:GK108)</f>
        <v>0</v>
      </c>
      <c r="J127" s="145"/>
      <c r="K127" s="147">
        <f>SUMIF(DH47:DH108,1012,DG47:DG108)</f>
        <v>0</v>
      </c>
    </row>
    <row r="128" spans="3:11" hidden="1" x14ac:dyDescent="0.2">
      <c r="C128" s="149" t="s">
        <v>397</v>
      </c>
      <c r="D128" s="145"/>
      <c r="E128" s="145"/>
      <c r="F128" s="145"/>
      <c r="G128" s="145"/>
      <c r="H128" s="145"/>
      <c r="I128" s="147">
        <f>SUMIF(DH47:DH108,1013,GK47:GK108)</f>
        <v>0</v>
      </c>
      <c r="J128" s="145"/>
      <c r="K128" s="147">
        <f>SUMIF(DH47:DH108,1013,DG47:DG108)</f>
        <v>0</v>
      </c>
    </row>
    <row r="129" spans="3:11" hidden="1" x14ac:dyDescent="0.2">
      <c r="C129" s="149" t="s">
        <v>398</v>
      </c>
      <c r="D129" s="145"/>
      <c r="E129" s="145"/>
      <c r="F129" s="145"/>
      <c r="G129" s="145"/>
      <c r="H129" s="145"/>
      <c r="I129" s="147">
        <f>SUMIF(DH47:DH108,1014,GK47:GK108)</f>
        <v>0</v>
      </c>
      <c r="J129" s="145"/>
      <c r="K129" s="147">
        <f>SUMIF(DH47:DH108,1014,DG47:DG108)</f>
        <v>0</v>
      </c>
    </row>
    <row r="130" spans="3:11" hidden="1" x14ac:dyDescent="0.2">
      <c r="C130" s="149" t="s">
        <v>399</v>
      </c>
      <c r="D130" s="145"/>
      <c r="E130" s="145"/>
      <c r="F130" s="145"/>
      <c r="G130" s="145"/>
      <c r="H130" s="145"/>
      <c r="I130" s="147">
        <f>SUMIF(DH47:DH108,1015,GK47:GK108)</f>
        <v>0</v>
      </c>
      <c r="J130" s="145"/>
      <c r="K130" s="147">
        <f>SUMIF(DH47:DH108,1015,DG47:DG108)</f>
        <v>0</v>
      </c>
    </row>
    <row r="131" spans="3:11" hidden="1" x14ac:dyDescent="0.2">
      <c r="C131" s="149" t="s">
        <v>400</v>
      </c>
      <c r="D131" s="145"/>
      <c r="E131" s="145"/>
      <c r="F131" s="145"/>
      <c r="G131" s="145"/>
      <c r="H131" s="145"/>
      <c r="I131" s="147">
        <f>SUMIF(DH47:DH108,1,GK47:GK108)</f>
        <v>0</v>
      </c>
      <c r="J131" s="145"/>
      <c r="K131" s="147">
        <f>SUMIF(DH47:DH108,1,DG47:DG108)</f>
        <v>0</v>
      </c>
    </row>
    <row r="132" spans="3:11" x14ac:dyDescent="0.2">
      <c r="C132" s="151" t="s">
        <v>401</v>
      </c>
      <c r="D132" s="150"/>
      <c r="E132" s="150"/>
      <c r="F132" s="150"/>
      <c r="G132" s="150"/>
      <c r="H132" s="150"/>
      <c r="I132" s="152">
        <f>SUM(GL47:GL108)</f>
        <v>198</v>
      </c>
      <c r="J132" s="150"/>
      <c r="K132" s="152">
        <f>Source!DI52</f>
        <v>1845</v>
      </c>
    </row>
    <row r="133" spans="3:11" x14ac:dyDescent="0.2">
      <c r="C133" s="148" t="s">
        <v>382</v>
      </c>
      <c r="D133" s="142"/>
      <c r="E133" s="142"/>
      <c r="F133" s="142"/>
      <c r="G133" s="142"/>
      <c r="H133" s="142"/>
      <c r="I133" s="142"/>
      <c r="J133" s="142"/>
      <c r="K133" s="142"/>
    </row>
    <row r="134" spans="3:11" x14ac:dyDescent="0.2">
      <c r="C134" s="153" t="s">
        <v>402</v>
      </c>
      <c r="D134" s="150"/>
      <c r="E134" s="150"/>
      <c r="F134" s="150"/>
      <c r="G134" s="150"/>
      <c r="H134" s="150"/>
      <c r="I134" s="152">
        <f>SUM(GM47:GM108)</f>
        <v>26</v>
      </c>
      <c r="J134" s="150"/>
      <c r="K134" s="152">
        <f>Source!DJ52</f>
        <v>516</v>
      </c>
    </row>
    <row r="135" spans="3:11" x14ac:dyDescent="0.2">
      <c r="C135" s="154" t="s">
        <v>403</v>
      </c>
      <c r="D135" s="105"/>
      <c r="E135" s="105"/>
      <c r="F135" s="105"/>
      <c r="G135" s="105"/>
      <c r="H135" s="105"/>
      <c r="I135" s="155">
        <f>SUM(GQ47:GQ108)+SUM(IA47:IA108)</f>
        <v>3207</v>
      </c>
      <c r="J135" s="105"/>
      <c r="K135" s="155">
        <f>Source!EO52+SUM(DB47:DB108)</f>
        <v>13801</v>
      </c>
    </row>
    <row r="136" spans="3:11" hidden="1" x14ac:dyDescent="0.2">
      <c r="C136" s="156" t="s">
        <v>382</v>
      </c>
      <c r="D136" s="105"/>
      <c r="E136" s="105"/>
      <c r="F136" s="105"/>
      <c r="G136" s="105"/>
      <c r="H136" s="105"/>
      <c r="I136" s="155"/>
      <c r="J136" s="105"/>
      <c r="K136" s="155"/>
    </row>
    <row r="137" spans="3:11" hidden="1" x14ac:dyDescent="0.2">
      <c r="C137" s="157" t="s">
        <v>404</v>
      </c>
      <c r="D137" s="105"/>
      <c r="E137" s="105"/>
      <c r="F137" s="105"/>
      <c r="G137" s="105"/>
      <c r="H137" s="105"/>
      <c r="I137" s="155">
        <f>SUM(GQ47:GQ108)</f>
        <v>3207</v>
      </c>
      <c r="J137" s="105"/>
      <c r="K137" s="155">
        <f>Source!EO52</f>
        <v>13801</v>
      </c>
    </row>
    <row r="138" spans="3:11" hidden="1" x14ac:dyDescent="0.2">
      <c r="C138" s="158" t="s">
        <v>405</v>
      </c>
      <c r="D138" s="105"/>
      <c r="E138" s="105"/>
      <c r="F138" s="105"/>
      <c r="G138" s="105"/>
      <c r="H138" s="105"/>
      <c r="I138" s="155">
        <f>SUM(GR47:GR108)</f>
        <v>0</v>
      </c>
      <c r="J138" s="105"/>
      <c r="K138" s="155">
        <f>Source!EP52</f>
        <v>0</v>
      </c>
    </row>
    <row r="139" spans="3:11" hidden="1" x14ac:dyDescent="0.2">
      <c r="C139" s="158" t="s">
        <v>406</v>
      </c>
      <c r="D139" s="105"/>
      <c r="E139" s="105"/>
      <c r="F139" s="105"/>
      <c r="G139" s="105"/>
      <c r="H139" s="105"/>
      <c r="I139" s="155">
        <f>SUM(GS47:GS108)</f>
        <v>3207</v>
      </c>
      <c r="J139" s="105"/>
      <c r="K139" s="155">
        <f>Source!EQ52</f>
        <v>13801</v>
      </c>
    </row>
    <row r="140" spans="3:11" hidden="1" x14ac:dyDescent="0.2">
      <c r="C140" s="157" t="s">
        <v>407</v>
      </c>
      <c r="D140" s="105"/>
      <c r="E140" s="105"/>
      <c r="F140" s="105"/>
      <c r="G140" s="105"/>
      <c r="H140" s="105"/>
      <c r="I140" s="155">
        <f>SUM(IA47:IA108)</f>
        <v>0</v>
      </c>
      <c r="J140" s="105"/>
      <c r="K140" s="155">
        <f>SUM(DB47:DB108)</f>
        <v>0</v>
      </c>
    </row>
    <row r="141" spans="3:11" hidden="1" x14ac:dyDescent="0.2">
      <c r="C141" s="159" t="s">
        <v>408</v>
      </c>
      <c r="D141" s="141"/>
      <c r="E141" s="141"/>
      <c r="F141" s="141"/>
      <c r="G141" s="141"/>
      <c r="H141" s="141"/>
      <c r="I141" s="160">
        <f>SUM(HK47:HK108)</f>
        <v>0</v>
      </c>
      <c r="J141" s="141"/>
      <c r="K141" s="160">
        <f>SUM(DD47:DD108)</f>
        <v>0</v>
      </c>
    </row>
    <row r="143" spans="3:11" x14ac:dyDescent="0.2">
      <c r="C143" s="145" t="s">
        <v>409</v>
      </c>
      <c r="D143" s="145"/>
      <c r="E143" s="145"/>
      <c r="F143" s="145"/>
      <c r="G143" s="145"/>
      <c r="H143" s="145"/>
      <c r="I143" s="147">
        <f>SUM(GK47:GK108)+SUM(GM47:GM108)</f>
        <v>114</v>
      </c>
      <c r="J143" s="145"/>
      <c r="K143" s="147">
        <f>Source!DK52+Source!DJ52</f>
        <v>3868</v>
      </c>
    </row>
    <row r="145" spans="1:11" x14ac:dyDescent="0.2">
      <c r="A145" s="161"/>
      <c r="B145" s="161"/>
      <c r="C145" s="161" t="s">
        <v>410</v>
      </c>
      <c r="D145" s="161"/>
      <c r="E145" s="161"/>
      <c r="F145" s="161"/>
      <c r="G145" s="161"/>
      <c r="H145" s="161"/>
      <c r="I145" s="162">
        <f>SUM(GY47:GY108)</f>
        <v>162</v>
      </c>
      <c r="J145" s="161"/>
      <c r="K145" s="162" t="e">
        <f>Source!DP52</f>
        <v>#REF!</v>
      </c>
    </row>
    <row r="146" spans="1:11" x14ac:dyDescent="0.2">
      <c r="A146" s="161"/>
      <c r="B146" s="161"/>
      <c r="C146" s="161" t="s">
        <v>411</v>
      </c>
      <c r="D146" s="161"/>
      <c r="E146" s="161"/>
      <c r="F146" s="161"/>
      <c r="G146" s="161"/>
      <c r="H146" s="161"/>
      <c r="I146" s="162">
        <f>SUM(GZ47:GZ108)</f>
        <v>108</v>
      </c>
      <c r="J146" s="161"/>
      <c r="K146" s="162" t="e">
        <f>Source!DQ52</f>
        <v>#REF!</v>
      </c>
    </row>
    <row r="148" spans="1:11" hidden="1" x14ac:dyDescent="0.2">
      <c r="C148" s="163" t="s">
        <v>412</v>
      </c>
      <c r="D148" s="163"/>
      <c r="E148" s="163"/>
      <c r="F148" s="163"/>
      <c r="G148" s="163"/>
      <c r="H148" s="163"/>
      <c r="I148" s="164">
        <f>SUM(GT47:GT108)+SUM(IB47:IB108)</f>
        <v>0</v>
      </c>
      <c r="J148" s="163"/>
      <c r="K148" s="164">
        <f>Source!EH52+SUM(DC47:DC108)</f>
        <v>0</v>
      </c>
    </row>
    <row r="149" spans="1:11" hidden="1" x14ac:dyDescent="0.2">
      <c r="C149" s="165" t="s">
        <v>382</v>
      </c>
      <c r="D149" s="166"/>
      <c r="E149" s="166"/>
      <c r="F149" s="166"/>
      <c r="G149" s="166"/>
      <c r="H149" s="166"/>
      <c r="I149" s="166"/>
      <c r="J149" s="166"/>
      <c r="K149" s="166"/>
    </row>
    <row r="150" spans="1:11" hidden="1" x14ac:dyDescent="0.2">
      <c r="C150" s="167" t="s">
        <v>413</v>
      </c>
      <c r="D150" s="163"/>
      <c r="E150" s="163"/>
      <c r="F150" s="163"/>
      <c r="G150" s="163"/>
      <c r="H150" s="163"/>
      <c r="I150" s="164">
        <f>SUM(GT47:GT108)</f>
        <v>0</v>
      </c>
      <c r="J150" s="163"/>
      <c r="K150" s="164">
        <f>Source!EH52</f>
        <v>0</v>
      </c>
    </row>
    <row r="151" spans="1:11" hidden="1" x14ac:dyDescent="0.2">
      <c r="C151" s="168" t="s">
        <v>414</v>
      </c>
      <c r="D151" s="163"/>
      <c r="E151" s="163"/>
      <c r="F151" s="163"/>
      <c r="G151" s="163"/>
      <c r="H151" s="163"/>
      <c r="I151" s="164">
        <f>SUM(GU47:GU108)</f>
        <v>0</v>
      </c>
      <c r="J151" s="163"/>
      <c r="K151" s="164">
        <f>Source!EI52</f>
        <v>0</v>
      </c>
    </row>
    <row r="152" spans="1:11" hidden="1" x14ac:dyDescent="0.2">
      <c r="C152" s="168" t="s">
        <v>415</v>
      </c>
      <c r="D152" s="163"/>
      <c r="E152" s="163"/>
      <c r="F152" s="163"/>
      <c r="G152" s="163"/>
      <c r="H152" s="163"/>
      <c r="I152" s="164">
        <f>SUM(GV47:GV108)</f>
        <v>0</v>
      </c>
      <c r="J152" s="163"/>
      <c r="K152" s="164">
        <f>Source!ER52</f>
        <v>0</v>
      </c>
    </row>
    <row r="153" spans="1:11" hidden="1" x14ac:dyDescent="0.2">
      <c r="C153" s="167" t="s">
        <v>416</v>
      </c>
      <c r="D153" s="163"/>
      <c r="E153" s="163"/>
      <c r="F153" s="163"/>
      <c r="G153" s="163"/>
      <c r="H153" s="163"/>
      <c r="I153" s="164">
        <f>SUM(IB47:IB108)</f>
        <v>0</v>
      </c>
      <c r="J153" s="163"/>
      <c r="K153" s="164">
        <f>SUM(DC47:DC108)</f>
        <v>0</v>
      </c>
    </row>
    <row r="155" spans="1:11" x14ac:dyDescent="0.2">
      <c r="C155" s="13" t="s">
        <v>417</v>
      </c>
      <c r="D155" s="13"/>
      <c r="E155" s="13"/>
      <c r="F155" s="13"/>
      <c r="G155" s="13"/>
      <c r="H155" s="13"/>
      <c r="I155" s="143">
        <f>SUM(HA47:HA108)</f>
        <v>3763</v>
      </c>
      <c r="J155" s="13"/>
      <c r="K155" s="143" t="e">
        <f>Source!EJ52</f>
        <v>#REF!</v>
      </c>
    </row>
    <row r="156" spans="1:11" x14ac:dyDescent="0.2">
      <c r="C156" s="144" t="s">
        <v>418</v>
      </c>
      <c r="D156" s="142"/>
      <c r="E156" s="142"/>
      <c r="F156" s="142"/>
      <c r="G156" s="142"/>
      <c r="H156" s="142"/>
      <c r="I156" s="142"/>
      <c r="J156" s="142"/>
      <c r="K156" s="142"/>
    </row>
    <row r="157" spans="1:11" x14ac:dyDescent="0.2">
      <c r="C157" s="169" t="s">
        <v>419</v>
      </c>
      <c r="D157" s="13"/>
      <c r="E157" s="13"/>
      <c r="F157" s="13"/>
      <c r="G157" s="13"/>
      <c r="H157" s="13"/>
      <c r="I157" s="143">
        <f>SUM(HB47:HB108)</f>
        <v>3763</v>
      </c>
      <c r="J157" s="13"/>
      <c r="K157" s="143" t="e">
        <f>Source!EK52</f>
        <v>#REF!</v>
      </c>
    </row>
    <row r="158" spans="1:11" hidden="1" x14ac:dyDescent="0.2">
      <c r="C158" s="169" t="s">
        <v>420</v>
      </c>
      <c r="D158" s="13"/>
      <c r="E158" s="13"/>
      <c r="F158" s="13"/>
      <c r="G158" s="13"/>
      <c r="H158" s="13"/>
      <c r="I158" s="143">
        <f>SUM(HC47:HC108)</f>
        <v>0</v>
      </c>
      <c r="J158" s="13"/>
      <c r="K158" s="143">
        <f>Source!EL52</f>
        <v>0</v>
      </c>
    </row>
    <row r="159" spans="1:11" hidden="1" x14ac:dyDescent="0.2">
      <c r="C159" s="167" t="s">
        <v>421</v>
      </c>
      <c r="D159" s="163"/>
      <c r="E159" s="163"/>
      <c r="F159" s="163"/>
      <c r="G159" s="163"/>
      <c r="H159" s="163"/>
      <c r="I159" s="164">
        <f>SUM(HD47:HD108)</f>
        <v>0</v>
      </c>
      <c r="J159" s="163"/>
      <c r="K159" s="164">
        <f>Source!EH52+SUM(DC47:DC108)</f>
        <v>0</v>
      </c>
    </row>
    <row r="160" spans="1:11" hidden="1" x14ac:dyDescent="0.2">
      <c r="C160" s="169" t="s">
        <v>130</v>
      </c>
      <c r="D160" s="13"/>
      <c r="E160" s="13"/>
      <c r="F160" s="13"/>
      <c r="G160" s="13"/>
      <c r="H160" s="13"/>
      <c r="I160" s="143">
        <f>SUM(HE47:HE108)</f>
        <v>0</v>
      </c>
      <c r="J160" s="13"/>
      <c r="K160" s="143">
        <f>Source!EM52</f>
        <v>0</v>
      </c>
    </row>
    <row r="162" spans="3:11" x14ac:dyDescent="0.2">
      <c r="C162" s="13" t="s">
        <v>422</v>
      </c>
      <c r="D162" s="13"/>
      <c r="E162" s="13"/>
      <c r="F162" s="13"/>
      <c r="G162" s="13"/>
      <c r="H162" s="13"/>
      <c r="I162" s="143">
        <f>SUM(HB47:HB108)+SUM(HC47:HC108)</f>
        <v>3763</v>
      </c>
      <c r="J162" s="13"/>
      <c r="K162" s="143" t="e">
        <f>Source!EK52+Source!EL52</f>
        <v>#REF!</v>
      </c>
    </row>
    <row r="163" spans="3:11" x14ac:dyDescent="0.2">
      <c r="C163" s="13" t="s">
        <v>423</v>
      </c>
      <c r="D163" s="13"/>
      <c r="E163" s="13"/>
      <c r="F163" s="13"/>
      <c r="G163" s="13"/>
      <c r="H163" s="13"/>
      <c r="I163" s="13"/>
      <c r="J163" s="13"/>
      <c r="K163" s="13"/>
    </row>
    <row r="164" spans="3:11" x14ac:dyDescent="0.2">
      <c r="C164" s="13" t="s">
        <v>424</v>
      </c>
      <c r="D164" s="13"/>
      <c r="E164" s="24">
        <v>1.9550000000000001</v>
      </c>
      <c r="F164" s="170" t="s">
        <v>362</v>
      </c>
      <c r="G164" s="13"/>
      <c r="H164" s="13"/>
      <c r="I164" s="143">
        <f>ROUND(I162*E164/100,0)</f>
        <v>74</v>
      </c>
      <c r="J164" s="13"/>
      <c r="K164" s="143" t="e">
        <f>ROUND(K162*E164/100,0)</f>
        <v>#REF!</v>
      </c>
    </row>
    <row r="165" spans="3:11" x14ac:dyDescent="0.2">
      <c r="C165" s="13" t="s">
        <v>425</v>
      </c>
      <c r="D165" s="13"/>
      <c r="E165" s="13"/>
      <c r="F165" s="13"/>
      <c r="G165" s="13"/>
      <c r="H165" s="13"/>
      <c r="I165" s="143">
        <f>I164+I162</f>
        <v>3837</v>
      </c>
      <c r="J165" s="13"/>
      <c r="K165" s="143" t="e">
        <f>K164+K162</f>
        <v>#REF!</v>
      </c>
    </row>
    <row r="167" spans="3:11" x14ac:dyDescent="0.2">
      <c r="C167" s="25" t="s">
        <v>148</v>
      </c>
      <c r="D167" s="25"/>
      <c r="E167" s="25"/>
      <c r="F167" s="25"/>
      <c r="G167" s="25"/>
      <c r="H167" s="25"/>
      <c r="I167" s="171">
        <f>I165+SUM(HD47:HD108)+SUM(HE47:HE108)</f>
        <v>3837</v>
      </c>
      <c r="J167" s="25"/>
      <c r="K167" s="171" t="e">
        <f>K165+Source!EH52+SUM(DC47:DC108)+Source!EM52</f>
        <v>#REF!</v>
      </c>
    </row>
    <row r="168" spans="3:11" x14ac:dyDescent="0.2">
      <c r="C168" s="13" t="s">
        <v>426</v>
      </c>
      <c r="D168" s="13"/>
      <c r="E168" s="24">
        <v>20</v>
      </c>
      <c r="F168" s="170" t="s">
        <v>362</v>
      </c>
      <c r="G168" s="13"/>
      <c r="H168" s="13"/>
      <c r="I168" s="13"/>
      <c r="J168" s="13"/>
      <c r="K168" s="172" t="e">
        <f>ROUND(K167*E168/100,2)</f>
        <v>#REF!</v>
      </c>
    </row>
    <row r="169" spans="3:11" x14ac:dyDescent="0.2">
      <c r="C169" s="25" t="s">
        <v>427</v>
      </c>
      <c r="D169" s="25"/>
      <c r="E169" s="25"/>
      <c r="F169" s="25"/>
      <c r="G169" s="25"/>
      <c r="H169" s="25"/>
      <c r="I169" s="25"/>
      <c r="J169" s="25"/>
      <c r="K169" s="173" t="e">
        <f>K168+K167</f>
        <v>#REF!</v>
      </c>
    </row>
    <row r="171" spans="3:11" x14ac:dyDescent="0.2">
      <c r="C171" s="142" t="s">
        <v>428</v>
      </c>
      <c r="D171" s="142"/>
      <c r="E171" s="142"/>
      <c r="F171" s="142"/>
      <c r="G171" s="142"/>
      <c r="H171" s="142"/>
      <c r="I171" s="142"/>
      <c r="J171" s="142"/>
      <c r="K171" s="142"/>
    </row>
    <row r="172" spans="3:11" x14ac:dyDescent="0.2">
      <c r="C172" s="174" t="s">
        <v>429</v>
      </c>
      <c r="D172" s="13"/>
      <c r="E172" s="13"/>
      <c r="F172" s="13"/>
      <c r="G172" s="13"/>
      <c r="H172" s="13"/>
      <c r="I172" s="143">
        <f>SUM(GN47:GN108)+SUM(IA47:IA108)+SUM(IB47:IB108)</f>
        <v>3207</v>
      </c>
      <c r="J172" s="13"/>
      <c r="K172" s="143">
        <f>Source!DH52+SUM(DB47:DB108)+SUM(DC47:DC108)</f>
        <v>13801</v>
      </c>
    </row>
    <row r="173" spans="3:11" hidden="1" x14ac:dyDescent="0.2">
      <c r="C173" s="144" t="s">
        <v>382</v>
      </c>
      <c r="D173" s="142"/>
      <c r="E173" s="142"/>
      <c r="F173" s="142"/>
      <c r="G173" s="142"/>
      <c r="H173" s="142"/>
      <c r="I173" s="142"/>
      <c r="J173" s="142"/>
      <c r="K173" s="142"/>
    </row>
    <row r="174" spans="3:11" hidden="1" x14ac:dyDescent="0.2">
      <c r="C174" s="169" t="s">
        <v>430</v>
      </c>
      <c r="D174" s="13"/>
      <c r="E174" s="13"/>
      <c r="F174" s="13"/>
      <c r="G174" s="13"/>
      <c r="H174" s="13"/>
      <c r="I174" s="143">
        <f>SUM(GO47:GO108)</f>
        <v>0</v>
      </c>
      <c r="J174" s="13"/>
      <c r="K174" s="143">
        <f>Source!EG52</f>
        <v>0</v>
      </c>
    </row>
    <row r="175" spans="3:11" hidden="1" x14ac:dyDescent="0.2">
      <c r="C175" s="169" t="s">
        <v>431</v>
      </c>
      <c r="D175" s="13"/>
      <c r="E175" s="13"/>
      <c r="F175" s="13"/>
      <c r="G175" s="13"/>
      <c r="H175" s="13"/>
      <c r="I175" s="143">
        <f>SUM(GP47:GP108)</f>
        <v>3207</v>
      </c>
      <c r="J175" s="13"/>
      <c r="K175" s="143">
        <f>Source!EN52</f>
        <v>13801</v>
      </c>
    </row>
    <row r="176" spans="3:11" x14ac:dyDescent="0.2">
      <c r="C176" s="174" t="s">
        <v>432</v>
      </c>
      <c r="D176" s="13"/>
      <c r="E176" s="13"/>
      <c r="F176" s="13"/>
      <c r="G176" s="13"/>
      <c r="H176" s="172" t="e">
        <f>Source!DM52</f>
        <v>#REF!</v>
      </c>
      <c r="I176" s="13"/>
      <c r="J176" s="13"/>
      <c r="K176" s="13"/>
    </row>
    <row r="177" spans="1:255" x14ac:dyDescent="0.2">
      <c r="C177" s="174" t="s">
        <v>139</v>
      </c>
      <c r="D177" s="13"/>
      <c r="E177" s="13"/>
      <c r="F177" s="13"/>
      <c r="G177" s="13"/>
      <c r="H177" s="172">
        <f>Source!DN52</f>
        <v>2.04542</v>
      </c>
      <c r="I177" s="13"/>
      <c r="J177" s="13"/>
      <c r="K177" s="13"/>
    </row>
    <row r="178" spans="1:255" hidden="1" outlineLevel="1" x14ac:dyDescent="0.2"/>
    <row r="179" spans="1:255" hidden="1" outlineLevel="1" x14ac:dyDescent="0.2"/>
    <row r="180" spans="1:255" hidden="1" outlineLevel="1" x14ac:dyDescent="0.2">
      <c r="A180" s="175" t="s">
        <v>433</v>
      </c>
      <c r="B180" s="175"/>
      <c r="C180" s="274"/>
      <c r="D180" s="274"/>
      <c r="E180" s="274"/>
      <c r="F180" s="274"/>
      <c r="G180" s="176"/>
      <c r="H180" s="176"/>
      <c r="I180" s="274"/>
      <c r="J180" s="274"/>
      <c r="BY180" s="177">
        <f>C180</f>
        <v>0</v>
      </c>
      <c r="BZ180" s="177">
        <f>I180</f>
        <v>0</v>
      </c>
      <c r="IU180" s="23"/>
    </row>
    <row r="181" spans="1:255" s="179" customFormat="1" ht="11.25" hidden="1" outlineLevel="1" x14ac:dyDescent="0.2">
      <c r="A181" s="178"/>
      <c r="B181" s="178"/>
      <c r="C181" s="360" t="s">
        <v>434</v>
      </c>
      <c r="D181" s="360"/>
      <c r="E181" s="360"/>
      <c r="F181" s="360"/>
      <c r="G181" s="360"/>
      <c r="H181" s="360"/>
      <c r="I181" s="360" t="s">
        <v>435</v>
      </c>
      <c r="J181" s="360"/>
    </row>
    <row r="182" spans="1:255" hidden="1" outlineLevel="1" x14ac:dyDescent="0.2">
      <c r="A182" s="18"/>
      <c r="B182" s="18"/>
      <c r="C182" s="18"/>
      <c r="D182" s="18"/>
      <c r="E182" s="18"/>
      <c r="F182" s="18"/>
      <c r="G182" s="11" t="s">
        <v>436</v>
      </c>
      <c r="H182" s="18"/>
      <c r="I182" s="18"/>
      <c r="J182" s="18"/>
    </row>
    <row r="183" spans="1:255" hidden="1" outlineLevel="1" x14ac:dyDescent="0.2">
      <c r="A183" s="175" t="s">
        <v>437</v>
      </c>
      <c r="B183" s="175"/>
      <c r="C183" s="274"/>
      <c r="D183" s="274"/>
      <c r="E183" s="274"/>
      <c r="F183" s="274"/>
      <c r="G183" s="176"/>
      <c r="H183" s="176"/>
      <c r="I183" s="274"/>
      <c r="J183" s="274"/>
      <c r="BY183" s="177">
        <f>C183</f>
        <v>0</v>
      </c>
      <c r="BZ183" s="177">
        <f>I183</f>
        <v>0</v>
      </c>
      <c r="IU183" s="23"/>
    </row>
    <row r="184" spans="1:255" s="179" customFormat="1" ht="11.25" hidden="1" outlineLevel="1" x14ac:dyDescent="0.2">
      <c r="A184" s="178"/>
      <c r="B184" s="178"/>
      <c r="C184" s="360" t="s">
        <v>434</v>
      </c>
      <c r="D184" s="360"/>
      <c r="E184" s="360"/>
      <c r="F184" s="360"/>
      <c r="G184" s="360"/>
      <c r="H184" s="360"/>
      <c r="I184" s="360" t="s">
        <v>435</v>
      </c>
      <c r="J184" s="360"/>
    </row>
    <row r="185" spans="1:255" hidden="1" outlineLevel="1" x14ac:dyDescent="0.2">
      <c r="A185" s="18"/>
      <c r="B185" s="18"/>
      <c r="C185" s="18"/>
      <c r="D185" s="18"/>
      <c r="E185" s="18"/>
      <c r="F185" s="18"/>
      <c r="G185" s="11" t="s">
        <v>436</v>
      </c>
      <c r="H185" s="18"/>
      <c r="I185" s="18"/>
      <c r="J185" s="18"/>
    </row>
    <row r="186" spans="1:255" collapsed="1" x14ac:dyDescent="0.2"/>
    <row r="187" spans="1:255" outlineLevel="1" x14ac:dyDescent="0.2"/>
    <row r="188" spans="1:255" outlineLevel="1" x14ac:dyDescent="0.2"/>
    <row r="189" spans="1:255" outlineLevel="1" x14ac:dyDescent="0.2">
      <c r="A189" s="175" t="s">
        <v>438</v>
      </c>
      <c r="B189" s="175"/>
      <c r="C189" s="274" t="s">
        <v>439</v>
      </c>
      <c r="D189" s="274"/>
      <c r="E189" s="274"/>
      <c r="F189" s="274"/>
      <c r="G189" s="176"/>
      <c r="H189" s="176"/>
      <c r="I189" s="274" t="s">
        <v>440</v>
      </c>
      <c r="J189" s="274"/>
      <c r="BY189" s="177" t="str">
        <f>C189</f>
        <v>Начальник ПТС ООО "ОСУ-2"</v>
      </c>
      <c r="BZ189" s="177" t="str">
        <f>I189</f>
        <v>Когтев В.И.</v>
      </c>
      <c r="IU189" s="23"/>
    </row>
    <row r="190" spans="1:255" s="179" customFormat="1" ht="11.25" outlineLevel="1" x14ac:dyDescent="0.2">
      <c r="A190" s="178"/>
      <c r="B190" s="178"/>
      <c r="C190" s="360" t="s">
        <v>434</v>
      </c>
      <c r="D190" s="360"/>
      <c r="E190" s="360"/>
      <c r="F190" s="360"/>
      <c r="G190" s="360"/>
      <c r="H190" s="360"/>
      <c r="I190" s="360" t="s">
        <v>435</v>
      </c>
      <c r="J190" s="360"/>
    </row>
    <row r="191" spans="1:255" outlineLevel="1" x14ac:dyDescent="0.2">
      <c r="A191" s="18"/>
      <c r="B191" s="18"/>
      <c r="C191" s="18"/>
      <c r="D191" s="18"/>
      <c r="E191" s="18"/>
      <c r="F191" s="18"/>
      <c r="G191" s="11" t="s">
        <v>436</v>
      </c>
      <c r="H191" s="18"/>
      <c r="I191" s="18"/>
      <c r="J191" s="18"/>
    </row>
    <row r="192" spans="1:255" outlineLevel="1" x14ac:dyDescent="0.2">
      <c r="A192" s="175" t="s">
        <v>441</v>
      </c>
      <c r="B192" s="175"/>
      <c r="C192" s="274" t="s">
        <v>10</v>
      </c>
      <c r="D192" s="274"/>
      <c r="E192" s="274"/>
      <c r="F192" s="274"/>
      <c r="G192" s="176"/>
      <c r="H192" s="176"/>
      <c r="I192" s="274" t="s">
        <v>9</v>
      </c>
      <c r="J192" s="274"/>
      <c r="BY192" s="177" t="str">
        <f>C192</f>
        <v>инженер-сметчик</v>
      </c>
      <c r="BZ192" s="177" t="str">
        <f>I192</f>
        <v>Бобрышева И.В</v>
      </c>
      <c r="IU192" s="23"/>
    </row>
    <row r="193" spans="1:255" s="179" customFormat="1" ht="11.25" outlineLevel="1" x14ac:dyDescent="0.2">
      <c r="A193" s="178"/>
      <c r="B193" s="178"/>
      <c r="C193" s="360" t="s">
        <v>434</v>
      </c>
      <c r="D193" s="360"/>
      <c r="E193" s="360"/>
      <c r="F193" s="360"/>
      <c r="G193" s="360"/>
      <c r="H193" s="360"/>
      <c r="I193" s="360" t="s">
        <v>435</v>
      </c>
      <c r="J193" s="360"/>
    </row>
    <row r="194" spans="1:255" outlineLevel="1" x14ac:dyDescent="0.2">
      <c r="A194" s="18"/>
      <c r="B194" s="18"/>
      <c r="C194" s="18"/>
      <c r="D194" s="18"/>
      <c r="E194" s="18"/>
      <c r="F194" s="18"/>
      <c r="G194" s="11" t="s">
        <v>436</v>
      </c>
      <c r="H194" s="18"/>
      <c r="I194" s="18"/>
      <c r="J194" s="18"/>
    </row>
    <row r="195" spans="1:255" outlineLevel="1" x14ac:dyDescent="0.2">
      <c r="A195" s="175" t="s">
        <v>442</v>
      </c>
      <c r="B195" s="175"/>
      <c r="C195" s="274" t="s">
        <v>12</v>
      </c>
      <c r="D195" s="274"/>
      <c r="E195" s="274"/>
      <c r="F195" s="274"/>
      <c r="G195" s="176"/>
      <c r="H195" s="176"/>
      <c r="I195" s="274" t="s">
        <v>11</v>
      </c>
      <c r="J195" s="274"/>
      <c r="BY195" s="177" t="str">
        <f>C195</f>
        <v>Главный инженер сметчик СРС ООО "ОДСК-Инжиниринг"</v>
      </c>
      <c r="BZ195" s="177" t="str">
        <f>I195</f>
        <v>Кузнецова У.И.</v>
      </c>
      <c r="IU195" s="23"/>
    </row>
    <row r="196" spans="1:255" s="179" customFormat="1" ht="11.25" outlineLevel="1" x14ac:dyDescent="0.2">
      <c r="A196" s="178"/>
      <c r="B196" s="178"/>
      <c r="C196" s="360" t="s">
        <v>434</v>
      </c>
      <c r="D196" s="360"/>
      <c r="E196" s="360"/>
      <c r="F196" s="360"/>
      <c r="G196" s="360"/>
      <c r="H196" s="360"/>
      <c r="I196" s="360" t="s">
        <v>435</v>
      </c>
      <c r="J196" s="360"/>
    </row>
    <row r="197" spans="1:255" outlineLevel="1" x14ac:dyDescent="0.2">
      <c r="A197" s="18"/>
      <c r="B197" s="18"/>
      <c r="C197" s="18"/>
      <c r="D197" s="18"/>
      <c r="E197" s="18"/>
      <c r="F197" s="18"/>
      <c r="G197" s="11" t="s">
        <v>436</v>
      </c>
      <c r="H197" s="18"/>
      <c r="I197" s="18"/>
      <c r="J197" s="18"/>
    </row>
    <row r="199" spans="1:255" x14ac:dyDescent="0.2">
      <c r="A199" s="31"/>
      <c r="B199" s="31"/>
    </row>
  </sheetData>
  <mergeCells count="93">
    <mergeCell ref="C196:H196"/>
    <mergeCell ref="I196:J196"/>
    <mergeCell ref="C192:F192"/>
    <mergeCell ref="I192:J192"/>
    <mergeCell ref="C193:H193"/>
    <mergeCell ref="I193:J193"/>
    <mergeCell ref="C195:F195"/>
    <mergeCell ref="I195:J195"/>
    <mergeCell ref="C184:H184"/>
    <mergeCell ref="I184:J184"/>
    <mergeCell ref="C189:F189"/>
    <mergeCell ref="I189:J189"/>
    <mergeCell ref="C190:H190"/>
    <mergeCell ref="I190:J190"/>
    <mergeCell ref="C180:F180"/>
    <mergeCell ref="I180:J180"/>
    <mergeCell ref="C181:H181"/>
    <mergeCell ref="I181:J181"/>
    <mergeCell ref="C183:F183"/>
    <mergeCell ref="I183:J183"/>
    <mergeCell ref="H106:I106"/>
    <mergeCell ref="J106:K106"/>
    <mergeCell ref="H107:I107"/>
    <mergeCell ref="J107:K107"/>
    <mergeCell ref="H108:I108"/>
    <mergeCell ref="J108:K108"/>
    <mergeCell ref="H96:I96"/>
    <mergeCell ref="J96:K96"/>
    <mergeCell ref="H97:I97"/>
    <mergeCell ref="J97:K97"/>
    <mergeCell ref="H98:I98"/>
    <mergeCell ref="J98:K98"/>
    <mergeCell ref="H77:I77"/>
    <mergeCell ref="J77:K77"/>
    <mergeCell ref="H78:I78"/>
    <mergeCell ref="J78:K78"/>
    <mergeCell ref="H79:I79"/>
    <mergeCell ref="J79:K79"/>
    <mergeCell ref="H64:I64"/>
    <mergeCell ref="J64:K64"/>
    <mergeCell ref="F42:F45"/>
    <mergeCell ref="G42:G45"/>
    <mergeCell ref="H42:H45"/>
    <mergeCell ref="I42:I45"/>
    <mergeCell ref="J42:J45"/>
    <mergeCell ref="K42:K45"/>
    <mergeCell ref="C48:K48"/>
    <mergeCell ref="H62:I62"/>
    <mergeCell ref="J62:K62"/>
    <mergeCell ref="H63:I63"/>
    <mergeCell ref="J63:K63"/>
    <mergeCell ref="C30:K30"/>
    <mergeCell ref="C31:K31"/>
    <mergeCell ref="A33:K33"/>
    <mergeCell ref="A34:K34"/>
    <mergeCell ref="C35:K35"/>
    <mergeCell ref="A42:A45"/>
    <mergeCell ref="B42:B45"/>
    <mergeCell ref="C42:C45"/>
    <mergeCell ref="D42:D45"/>
    <mergeCell ref="E42:E45"/>
    <mergeCell ref="C29:K29"/>
    <mergeCell ref="G14:H14"/>
    <mergeCell ref="J14:K14"/>
    <mergeCell ref="J15:K15"/>
    <mergeCell ref="J16:K16"/>
    <mergeCell ref="G18:G19"/>
    <mergeCell ref="H18:H19"/>
    <mergeCell ref="I18:J18"/>
    <mergeCell ref="C20:F20"/>
    <mergeCell ref="C21:F21"/>
    <mergeCell ref="C22:F22"/>
    <mergeCell ref="C23:F23"/>
    <mergeCell ref="E26:F26"/>
    <mergeCell ref="C11:G11"/>
    <mergeCell ref="J11:K11"/>
    <mergeCell ref="C12:G12"/>
    <mergeCell ref="J12:K12"/>
    <mergeCell ref="C13:G13"/>
    <mergeCell ref="J13:K13"/>
    <mergeCell ref="C8:G8"/>
    <mergeCell ref="J8:K8"/>
    <mergeCell ref="C9:G9"/>
    <mergeCell ref="J9:K9"/>
    <mergeCell ref="C10:G10"/>
    <mergeCell ref="J10:K10"/>
    <mergeCell ref="C7:G7"/>
    <mergeCell ref="J7:K7"/>
    <mergeCell ref="H2:K2"/>
    <mergeCell ref="H3:K3"/>
    <mergeCell ref="H4:K4"/>
    <mergeCell ref="J5:K5"/>
    <mergeCell ref="J6:K6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9"/>
  <sheetViews>
    <sheetView workbookViewId="0"/>
  </sheetViews>
  <sheetFormatPr defaultRowHeight="12.75" x14ac:dyDescent="0.2"/>
  <sheetData>
    <row r="1" spans="1:255" x14ac:dyDescent="0.2">
      <c r="B1" t="s">
        <v>288</v>
      </c>
    </row>
    <row r="3" spans="1:255" x14ac:dyDescent="0.2">
      <c r="A3">
        <v>3</v>
      </c>
      <c r="B3" t="s">
        <v>289</v>
      </c>
    </row>
    <row r="4" spans="1:255" x14ac:dyDescent="0.2">
      <c r="A4">
        <v>2</v>
      </c>
      <c r="B4" t="s">
        <v>290</v>
      </c>
    </row>
    <row r="5" spans="1:255" x14ac:dyDescent="0.2">
      <c r="A5">
        <v>0</v>
      </c>
      <c r="B5" t="s">
        <v>291</v>
      </c>
    </row>
    <row r="6" spans="1:255" x14ac:dyDescent="0.2">
      <c r="A6">
        <v>2</v>
      </c>
      <c r="B6" t="s">
        <v>292</v>
      </c>
    </row>
    <row r="7" spans="1:255" x14ac:dyDescent="0.2">
      <c r="A7">
        <v>0</v>
      </c>
      <c r="B7" t="s">
        <v>293</v>
      </c>
    </row>
    <row r="8" spans="1:255" x14ac:dyDescent="0.2">
      <c r="A8">
        <v>2</v>
      </c>
      <c r="B8" t="s">
        <v>294</v>
      </c>
    </row>
    <row r="9" spans="1:255" x14ac:dyDescent="0.2">
      <c r="A9">
        <v>0</v>
      </c>
      <c r="B9" t="s">
        <v>295</v>
      </c>
    </row>
    <row r="13" spans="1:255" x14ac:dyDescent="0.2">
      <c r="A13">
        <v>3</v>
      </c>
      <c r="B13" t="s">
        <v>355</v>
      </c>
      <c r="D13" t="s">
        <v>356</v>
      </c>
      <c r="F13" t="s">
        <v>357</v>
      </c>
    </row>
    <row r="14" spans="1:255" x14ac:dyDescent="0.2">
      <c r="A14">
        <v>513</v>
      </c>
      <c r="B14" t="s">
        <v>380</v>
      </c>
      <c r="D14" t="s">
        <v>356</v>
      </c>
      <c r="F14" t="s">
        <v>357</v>
      </c>
      <c r="AY14">
        <f>SUM('1.Лок.смета.и.Акт'!AS47:'1.Лок.смета.и.Акт'!AS108)</f>
        <v>0</v>
      </c>
      <c r="AZ14">
        <f>SUM('1.Лок.смета.и.Акт'!AT47:'1.Лок.смета.и.Акт'!AT108)</f>
        <v>0</v>
      </c>
      <c r="BA14">
        <f>SUM('1.Лок.смета.и.Акт'!AU47:'1.Лок.смета.и.Акт'!AU108)</f>
        <v>0</v>
      </c>
      <c r="BB14">
        <f>SUM('1.Лок.смета.и.Акт'!AV47:'1.Лок.смета.и.Акт'!AV108)</f>
        <v>0</v>
      </c>
      <c r="BC14">
        <f>SUM('1.Лок.смета.и.Акт'!AW47:'1.Лок.смета.и.Акт'!AW108)</f>
        <v>0</v>
      </c>
      <c r="BD14">
        <f>SUM('1.Лок.смета.и.Акт'!AX47:'1.Лок.смета.и.Акт'!AX108)</f>
        <v>0</v>
      </c>
      <c r="CW14" t="e">
        <f>Source!DM52</f>
        <v>#REF!</v>
      </c>
      <c r="CX14">
        <f>Source!DN52</f>
        <v>2.04542</v>
      </c>
      <c r="CY14">
        <f>Source!DG52</f>
        <v>18998</v>
      </c>
      <c r="CZ14">
        <f>Source!DK52</f>
        <v>3352</v>
      </c>
      <c r="DA14">
        <f>Source!DI52</f>
        <v>1845</v>
      </c>
      <c r="DB14">
        <f>Source!DJ52</f>
        <v>516</v>
      </c>
      <c r="DC14">
        <f>Source!DH52</f>
        <v>13801</v>
      </c>
      <c r="DD14">
        <f>Source!EG52</f>
        <v>0</v>
      </c>
      <c r="DE14">
        <f>Source!EN52</f>
        <v>13801</v>
      </c>
      <c r="DF14">
        <f>Source!EO52</f>
        <v>13801</v>
      </c>
      <c r="DG14">
        <f>Source!EP52</f>
        <v>0</v>
      </c>
      <c r="DH14">
        <f>Source!EQ52</f>
        <v>13801</v>
      </c>
      <c r="DI14">
        <f>Source!EH52</f>
        <v>0</v>
      </c>
      <c r="DJ14">
        <f>Source!EI52</f>
        <v>0</v>
      </c>
      <c r="DK14">
        <f>Source!ER52</f>
        <v>0</v>
      </c>
      <c r="DL14">
        <f>Source!DL52</f>
        <v>0</v>
      </c>
      <c r="DM14">
        <f>Source!DO52</f>
        <v>18</v>
      </c>
      <c r="DN14" t="e">
        <f>Source!DP52</f>
        <v>#REF!</v>
      </c>
      <c r="DO14" t="e">
        <f>Source!DQ52</f>
        <v>#REF!</v>
      </c>
      <c r="DP14" t="e">
        <f>Source!EJ52</f>
        <v>#REF!</v>
      </c>
      <c r="DQ14" t="e">
        <f>Source!EK52</f>
        <v>#REF!</v>
      </c>
      <c r="DR14">
        <f>Source!EL52</f>
        <v>0</v>
      </c>
      <c r="DS14">
        <f>Source!EH52</f>
        <v>0</v>
      </c>
      <c r="DT14">
        <f>Source!EM52</f>
        <v>0</v>
      </c>
      <c r="DU14" t="e">
        <f>Source!EK52+Source!EL52</f>
        <v>#REF!</v>
      </c>
      <c r="DW14">
        <f>Source!ES52</f>
        <v>0</v>
      </c>
      <c r="DX14">
        <f>Source!ET52</f>
        <v>0</v>
      </c>
      <c r="DY14">
        <f>Source!EU52</f>
        <v>0</v>
      </c>
      <c r="DZ14">
        <f>Source!EV52</f>
        <v>0</v>
      </c>
      <c r="ET14" t="e">
        <f>Source!DM52</f>
        <v>#REF!</v>
      </c>
      <c r="EU14">
        <f>Source!DN52</f>
        <v>2.04542</v>
      </c>
      <c r="EV14">
        <f>SUM('1.Лок.смета.и.Акт'!GJ47:'1.Лок.смета.и.Акт'!GJ108)</f>
        <v>3493</v>
      </c>
      <c r="EW14">
        <f>SUM('1.Лок.смета.и.Акт'!GK47:'1.Лок.смета.и.Акт'!GK108)</f>
        <v>88</v>
      </c>
      <c r="EX14">
        <f>SUM('1.Лок.смета.и.Акт'!GL47:'1.Лок.смета.и.Акт'!GL108)</f>
        <v>198</v>
      </c>
      <c r="EY14">
        <f>SUM('1.Лок.смета.и.Акт'!GM47:'1.Лок.смета.и.Акт'!GM108)</f>
        <v>26</v>
      </c>
      <c r="EZ14">
        <f>SUM('1.Лок.смета.и.Акт'!GN47:'1.Лок.смета.и.Акт'!GN108)</f>
        <v>3207</v>
      </c>
      <c r="FA14">
        <f>SUM('1.Лок.смета.и.Акт'!GO47:'1.Лок.смета.и.Акт'!GO108)</f>
        <v>0</v>
      </c>
      <c r="FB14">
        <f>SUM('1.Лок.смета.и.Акт'!GP47:'1.Лок.смета.и.Акт'!GP108)</f>
        <v>3207</v>
      </c>
      <c r="FC14">
        <f>SUM('1.Лок.смета.и.Акт'!GQ47:'1.Лок.смета.и.Акт'!GQ108)</f>
        <v>3207</v>
      </c>
      <c r="FD14">
        <f>SUM('1.Лок.смета.и.Акт'!GR47:'1.Лок.смета.и.Акт'!GR108)</f>
        <v>0</v>
      </c>
      <c r="FE14">
        <f>SUM('1.Лок.смета.и.Акт'!GS47:'1.Лок.смета.и.Акт'!GS108)</f>
        <v>3207</v>
      </c>
      <c r="FF14">
        <f>SUM('1.Лок.смета.и.Акт'!GT47:'1.Лок.смета.и.Акт'!GT108)</f>
        <v>0</v>
      </c>
      <c r="FG14">
        <f>SUM('1.Лок.смета.и.Акт'!GU47:'1.Лок.смета.и.Акт'!GU108)</f>
        <v>0</v>
      </c>
      <c r="FH14">
        <f>SUM('1.Лок.смета.и.Акт'!GV47:'1.Лок.смета.и.Акт'!GV108)</f>
        <v>0</v>
      </c>
      <c r="FI14">
        <f>SUM('1.Лок.смета.и.Акт'!GW47:'1.Лок.смета.и.Акт'!GW108)</f>
        <v>0</v>
      </c>
      <c r="FJ14">
        <f>SUM('1.Лок.смета.и.Акт'!GX47:'1.Лок.смета.и.Акт'!GX108)</f>
        <v>0</v>
      </c>
      <c r="FK14">
        <f>SUM('1.Лок.смета.и.Акт'!GY47:'1.Лок.смета.и.Акт'!GY108)</f>
        <v>162</v>
      </c>
      <c r="FL14">
        <f>SUM('1.Лок.смета.и.Акт'!GZ47:'1.Лок.смета.и.Акт'!GZ108)</f>
        <v>108</v>
      </c>
      <c r="FM14">
        <f>SUM('1.Лок.смета.и.Акт'!HA47:'1.Лок.смета.и.Акт'!HA108)</f>
        <v>3763</v>
      </c>
      <c r="FN14">
        <f>SUM('1.Лок.смета.и.Акт'!HB47:'1.Лок.смета.и.Акт'!HB108)</f>
        <v>3763</v>
      </c>
      <c r="FO14">
        <f>SUM('1.Лок.смета.и.Акт'!HC47:'1.Лок.смета.и.Акт'!HC108)</f>
        <v>0</v>
      </c>
      <c r="FP14">
        <f>SUM('1.Лок.смета.и.Акт'!HD47:'1.Лок.смета.и.Акт'!HD108)</f>
        <v>0</v>
      </c>
      <c r="FQ14">
        <f>SUM('1.Лок.смета.и.Акт'!HE47:'1.Лок.смета.и.Акт'!HE108)</f>
        <v>0</v>
      </c>
      <c r="FR14">
        <f>SUM('1.Лок.смета.и.Акт'!HB47:'1.Лок.смета.и.Акт'!HB108)+SUM('1.Лок.смета.и.Акт'!HC47:'1.Лок.смета.и.Акт'!HC108)</f>
        <v>3763</v>
      </c>
      <c r="FS14">
        <f>SUM('1.Лок.смета.и.Акт'!HG47:'1.Лок.смета.и.Акт'!HG108)</f>
        <v>0</v>
      </c>
      <c r="FT14">
        <f>SUM('1.Лок.смета.и.Акт'!HH47:'1.Лок.смета.и.Акт'!HH108)</f>
        <v>0</v>
      </c>
      <c r="FU14">
        <f>SUM('1.Лок.смета.и.Акт'!HI47:'1.Лок.смета.и.Акт'!HI108)</f>
        <v>0</v>
      </c>
      <c r="FV14">
        <f>SUM('1.Лок.смета.и.Акт'!HJ47:'1.Лок.смета.и.Акт'!HJ108)</f>
        <v>0</v>
      </c>
      <c r="FW14">
        <f>SUM('1.Лок.смета.и.Акт'!HK47:'1.Лок.смета.и.Акт'!HK108)</f>
        <v>0</v>
      </c>
      <c r="FX14">
        <f>SUMIF('1.Лок.смета.и.Акт'!CV47:'1.Лок.смета.и.Акт'!CV108,1,'1.Лок.смета.и.Акт'!GK47:'1.Лок.смета.и.Акт'!GK108)</f>
        <v>88</v>
      </c>
      <c r="FY14">
        <f>SUMIF('1.Лок.смета.и.Акт'!CV47:'1.Лок.смета.и.Акт'!CV108,2,'1.Лок.смета.и.Акт'!GK47:'1.Лок.смета.и.Акт'!GK108)</f>
        <v>0</v>
      </c>
      <c r="FZ14">
        <f>SUMIF('1.Лок.смета.и.Акт'!CV47:'1.Лок.смета.и.Акт'!CV108,5,'1.Лок.смета.и.Акт'!GK47:'1.Лок.смета.и.Акт'!GK108)</f>
        <v>0</v>
      </c>
      <c r="GA14">
        <f>SUMIF('1.Лок.смета.и.Акт'!CV47:'1.Лок.смета.и.Акт'!CV108,4,'1.Лок.смета.и.Акт'!GK47:'1.Лок.смета.и.Акт'!GK108)</f>
        <v>0</v>
      </c>
      <c r="GB14">
        <f>SUMIF('1.Лок.смета.и.Акт'!CV47:'1.Лок.смета.и.Акт'!CV108,1,'1.Лок.смета.и.Акт'!GL47:'1.Лок.смета.и.Акт'!GL108)</f>
        <v>198</v>
      </c>
      <c r="GC14">
        <f>SUMIF('1.Лок.смета.и.Акт'!CV47:'1.Лок.смета.и.Акт'!CV108,2,'1.Лок.смета.и.Акт'!GL47:'1.Лок.смета.и.Акт'!GL108)</f>
        <v>0</v>
      </c>
      <c r="GD14">
        <f>SUMIF('1.Лок.смета.и.Акт'!CV47:'1.Лок.смета.и.Акт'!CV108,4,'1.Лок.смета.и.Акт'!GL47:'1.Лок.смета.и.Акт'!GL108)</f>
        <v>0</v>
      </c>
      <c r="GE14">
        <f>SUMIF('1.Лок.смета.и.Акт'!CV47:'1.Лок.смета.и.Акт'!CV108,1,'1.Лок.смета.и.Акт'!GQ47:'1.Лок.смета.и.Акт'!GQ108)</f>
        <v>3207</v>
      </c>
      <c r="GF14">
        <f>SUMIF('1.Лок.смета.и.Акт'!CV47:'1.Лок.смета.и.Акт'!CV108,2,'1.Лок.смета.и.Акт'!GQ47:'1.Лок.смета.и.Акт'!GQ108)</f>
        <v>0</v>
      </c>
      <c r="GG14">
        <f>SUMIF('1.Лок.смета.и.Акт'!CV47:'1.Лок.смета.и.Акт'!CV108,4,'1.Лок.смета.и.Акт'!GQ47:'1.Лок.смета.и.Акт'!GQ108)</f>
        <v>0</v>
      </c>
      <c r="IB14">
        <f>SUM('1.Лок.смета.и.Акт'!HO47:'1.Лок.смета.и.Акт'!HO108)</f>
        <v>0</v>
      </c>
      <c r="IC14">
        <f>SUM('1.Лок.смета.и.Акт'!HQ47:'1.Лок.смета.и.Акт'!HQ108)</f>
        <v>0</v>
      </c>
      <c r="ID14">
        <f>SUM('1.Лок.смета.и.Акт'!HS47:'1.Лок.смета.и.Акт'!HS108)</f>
        <v>0</v>
      </c>
      <c r="IE14">
        <f>SUM('1.Лок.смета.и.Акт'!HU47:'1.Лок.смета.и.Акт'!HU108)</f>
        <v>0</v>
      </c>
      <c r="IF14">
        <f>SUM('1.Лок.смета.и.Акт'!HY47:'1.Лок.смета.и.Акт'!HY108)</f>
        <v>0</v>
      </c>
      <c r="IG14">
        <f>SUM('1.Лок.смета.и.Акт'!HZ47:'1.Лок.смета.и.Акт'!HZ108)</f>
        <v>0</v>
      </c>
      <c r="IH14">
        <f>SUM('1.Лок.смета.и.Акт'!HL47:'1.Лок.смета.и.Акт'!HL108)</f>
        <v>3763</v>
      </c>
      <c r="II14">
        <f>SUM('1.Лок.смета.и.Акт'!HN47:'1.Лок.смета.и.Акт'!HN108)</f>
        <v>3763</v>
      </c>
      <c r="IJ14">
        <f>SUM('1.Лок.смета.и.Акт'!HP47:'1.Лок.смета.и.Акт'!HP108)</f>
        <v>0</v>
      </c>
      <c r="IK14">
        <f>SUM('1.Лок.смета.и.Акт'!HR47:'1.Лок.смета.и.Акт'!HR108)</f>
        <v>0</v>
      </c>
      <c r="IL14">
        <f>SUM('1.Лок.смета.и.Акт'!HT47:'1.Лок.смета.и.Акт'!HT108)</f>
        <v>0</v>
      </c>
      <c r="IM14">
        <f>SUM('1.Лок.смета.и.Акт'!HW47:'1.Лок.смета.и.Акт'!HW108)</f>
        <v>0</v>
      </c>
      <c r="IN14">
        <f>SUMIF('1.Лок.смета.и.Акт'!CV47:'1.Лок.смета.и.Акт'!CV108,1,'1.Лок.смета.и.Акт'!GY47:'1.Лок.смета.и.Акт'!GY108)</f>
        <v>162</v>
      </c>
      <c r="IO14">
        <f>SUMIF('1.Лок.смета.и.Акт'!CV47:'1.Лок.смета.и.Акт'!CV108,2,'1.Лок.смета.и.Акт'!GY47:'1.Лок.смета.и.Акт'!GY108)</f>
        <v>0</v>
      </c>
      <c r="IP14">
        <f>SUMIF('1.Лок.смета.и.Акт'!CV47:'1.Лок.смета.и.Акт'!CV108,5,'1.Лок.смета.и.Акт'!GY47:'1.Лок.смета.и.Акт'!GY108)</f>
        <v>0</v>
      </c>
      <c r="IQ14">
        <f>SUMIF('1.Лок.смета.и.Акт'!CV47:'1.Лок.смета.и.Акт'!CV108,4,'1.Лок.смета.и.Акт'!GY47:'1.Лок.смета.и.Акт'!GY108)</f>
        <v>0</v>
      </c>
      <c r="IR14">
        <f>SUMIF('1.Лок.смета.и.Акт'!CV47:'1.Лок.смета.и.Акт'!CV108,1,'1.Лок.смета.и.Акт'!GZ47:'1.Лок.смета.и.Акт'!GZ108)</f>
        <v>108</v>
      </c>
      <c r="IS14">
        <f>SUMIF('1.Лок.смета.и.Акт'!CV47:'1.Лок.смета.и.Акт'!CV108,2,'1.Лок.смета.и.Акт'!GZ47:'1.Лок.смета.и.Акт'!GZ108)</f>
        <v>0</v>
      </c>
      <c r="IT14">
        <f>SUMIF('1.Лок.смета.и.Акт'!CV47:'1.Лок.смета.и.Акт'!CV108,5,'1.Лок.смета.и.Акт'!GZ47:'1.Лок.смета.и.Акт'!GZ108)</f>
        <v>0</v>
      </c>
      <c r="IU14">
        <f>SUMIF('1.Лок.смета.и.Акт'!CV47:'1.Лок.смета.и.Акт'!CV108,4,'1.Лок.смета.и.Акт'!GZ47:'1.Лок.смета.и.Акт'!GZ108)</f>
        <v>0</v>
      </c>
    </row>
    <row r="15" spans="1:255" x14ac:dyDescent="0.2">
      <c r="A15">
        <v>999</v>
      </c>
      <c r="B15" t="s">
        <v>443</v>
      </c>
    </row>
    <row r="109" spans="57:68" x14ac:dyDescent="0.2">
      <c r="BE109">
        <f>SUMIF('1.Лок.смета.и.Акт'!CV47:'1.Лок.смета.и.Акт'!CV108,1,'1.Лок.смета.и.Акт'!AV47:'1.Лок.смета.и.Акт'!AV108)</f>
        <v>0</v>
      </c>
      <c r="BF109">
        <f>SUMIF('1.Лок.смета.и.Акт'!CV47:'1.Лок.смета.и.Акт'!CV108,2,'1.Лок.смета.и.Акт'!AV47:'1.Лок.смета.и.Акт'!AV108)</f>
        <v>0</v>
      </c>
      <c r="BG109">
        <f>SUMIF('1.Лок.смета.и.Акт'!CV47:'1.Лок.смета.и.Акт'!CV108,5,'1.Лок.смета.и.Акт'!AV47:'1.Лок.смета.и.Акт'!AV108)</f>
        <v>0</v>
      </c>
      <c r="BH109">
        <f>SUMIF('1.Лок.смета.и.Акт'!CV47:'1.Лок.смета.и.Акт'!CV108,4,'1.Лок.смета.и.Акт'!AV47:'1.Лок.смета.и.Акт'!AV108)</f>
        <v>0</v>
      </c>
      <c r="BI109">
        <f>SUMIF('1.Лок.смета.и.Акт'!CV47:'1.Лок.смета.и.Акт'!CV108,1,'1.Лок.смета.и.Акт'!AW47:'1.Лок.смета.и.Акт'!AW108)</f>
        <v>0</v>
      </c>
      <c r="BJ109">
        <f>SUMIF('1.Лок.смета.и.Акт'!CV47:'1.Лок.смета.и.Акт'!CV108,2,'1.Лок.смета.и.Акт'!AW47:'1.Лок.смета.и.Акт'!AW108)</f>
        <v>0</v>
      </c>
      <c r="BK109">
        <f>SUMIF('1.Лок.смета.и.Акт'!CV47:'1.Лок.смета.и.Акт'!CV108,5,'1.Лок.смета.и.Акт'!AW47:'1.Лок.смета.и.Акт'!AW108)</f>
        <v>0</v>
      </c>
      <c r="BL109">
        <f>SUMIF('1.Лок.смета.и.Акт'!CV47:'1.Лок.смета.и.Акт'!CV108,4,'1.Лок.смета.и.Акт'!AW47:'1.Лок.смета.и.Акт'!AW108)</f>
        <v>0</v>
      </c>
      <c r="BM109">
        <f>SUMIF('1.Лок.смета.и.Акт'!CV47:'1.Лок.смета.и.Акт'!CV108,1,'1.Лок.смета.и.Акт'!AX47:'1.Лок.смета.и.Акт'!AX108)</f>
        <v>0</v>
      </c>
      <c r="BN109">
        <f>SUMIF('1.Лок.смета.и.Акт'!CV47:'1.Лок.смета.и.Акт'!CV108,2,'1.Лок.смета.и.Акт'!AX47:'1.Лок.смета.и.Акт'!AX108)</f>
        <v>0</v>
      </c>
      <c r="BO109">
        <f>SUMIF('1.Лок.смета.и.Акт'!CV47:'1.Лок.смета.и.Акт'!CV108,5,'1.Лок.смета.и.Акт'!AX47:'1.Лок.смета.и.Акт'!AX108)</f>
        <v>0</v>
      </c>
      <c r="BP109">
        <f>SUMIF('1.Лок.смета.и.Акт'!CV47:'1.Лок.смета.и.Акт'!CV108,4,'1.Лок.смета.и.Акт'!AX47:'1.Лок.смета.и.Акт'!AX108)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52"/>
  <sheetViews>
    <sheetView workbookViewId="0">
      <selection activeCell="A148" sqref="A148:AX148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12827</v>
      </c>
      <c r="M1">
        <v>66420865</v>
      </c>
      <c r="N1">
        <v>11</v>
      </c>
      <c r="O1">
        <v>11</v>
      </c>
      <c r="P1">
        <v>0</v>
      </c>
      <c r="Q1">
        <v>3</v>
      </c>
      <c r="IF1">
        <v>-1</v>
      </c>
    </row>
    <row r="2" spans="1:246" x14ac:dyDescent="0.2">
      <c r="IF2">
        <v>-1</v>
      </c>
      <c r="IK2" s="137" t="e">
        <f>#REF!</f>
        <v>#REF!</v>
      </c>
      <c r="IL2" t="s">
        <v>480</v>
      </c>
    </row>
    <row r="3" spans="1:246" x14ac:dyDescent="0.2">
      <c r="IF3">
        <v>-1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  <c r="IF4">
        <v>-1</v>
      </c>
    </row>
    <row r="5" spans="1:246" x14ac:dyDescent="0.2">
      <c r="IF5">
        <v>-1</v>
      </c>
      <c r="IK5">
        <v>5</v>
      </c>
      <c r="IL5" t="s">
        <v>299</v>
      </c>
    </row>
    <row r="6" spans="1:246" x14ac:dyDescent="0.2">
      <c r="IF6">
        <v>-1</v>
      </c>
      <c r="IK6">
        <v>50</v>
      </c>
      <c r="IL6" t="s">
        <v>286</v>
      </c>
    </row>
    <row r="7" spans="1:246" x14ac:dyDescent="0.2">
      <c r="IF7">
        <v>-1</v>
      </c>
      <c r="IK7">
        <v>2</v>
      </c>
      <c r="IL7" t="s">
        <v>446</v>
      </c>
    </row>
    <row r="8" spans="1:246" x14ac:dyDescent="0.2">
      <c r="IF8">
        <v>-1</v>
      </c>
      <c r="IK8" t="e">
        <f>IF((Source!AR52&lt;&gt;'ТЗ '!#REF!),0,1)</f>
        <v>#REF!</v>
      </c>
      <c r="IL8" t="s">
        <v>381</v>
      </c>
    </row>
    <row r="9" spans="1:246" x14ac:dyDescent="0.2">
      <c r="A9" s="1">
        <v>1</v>
      </c>
      <c r="B9" s="1">
        <v>1</v>
      </c>
      <c r="C9" s="1">
        <v>-1</v>
      </c>
      <c r="D9" s="1"/>
      <c r="E9" s="1"/>
      <c r="F9" s="1" t="s">
        <v>5</v>
      </c>
      <c r="G9" s="1" t="s">
        <v>6</v>
      </c>
      <c r="H9" s="1" t="s">
        <v>3</v>
      </c>
      <c r="I9" s="1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  <c r="O9" s="1" t="s">
        <v>3</v>
      </c>
      <c r="P9" s="1">
        <v>0</v>
      </c>
      <c r="Q9" s="1" t="s">
        <v>3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>
        <v>0</v>
      </c>
      <c r="BH9" t="s">
        <v>3</v>
      </c>
      <c r="BI9" t="s">
        <v>3</v>
      </c>
      <c r="BJ9" t="s">
        <v>3</v>
      </c>
      <c r="BK9" t="s">
        <v>3</v>
      </c>
      <c r="BL9" t="s">
        <v>3</v>
      </c>
      <c r="IF9">
        <v>-1</v>
      </c>
      <c r="IK9" s="12" t="s">
        <v>445</v>
      </c>
      <c r="IL9" t="s">
        <v>287</v>
      </c>
    </row>
    <row r="10" spans="1:246" x14ac:dyDescent="0.2">
      <c r="IF10">
        <v>-1</v>
      </c>
      <c r="IK10">
        <v>2</v>
      </c>
      <c r="IL10" t="s">
        <v>284</v>
      </c>
    </row>
    <row r="11" spans="1:246" x14ac:dyDescent="0.2">
      <c r="IF11">
        <v>-1</v>
      </c>
      <c r="IK11" t="s">
        <v>444</v>
      </c>
      <c r="IL11" t="s">
        <v>285</v>
      </c>
    </row>
    <row r="12" spans="1:246" x14ac:dyDescent="0.2">
      <c r="A12" s="1">
        <v>1</v>
      </c>
      <c r="B12" s="1">
        <v>146</v>
      </c>
      <c r="C12" s="1">
        <v>0</v>
      </c>
      <c r="D12" s="1">
        <f>ROW(A82)</f>
        <v>82</v>
      </c>
      <c r="E12" s="1">
        <v>0</v>
      </c>
      <c r="F12" s="1" t="s">
        <v>7</v>
      </c>
      <c r="G12" s="1" t="s">
        <v>4</v>
      </c>
      <c r="H12" s="1" t="s">
        <v>3</v>
      </c>
      <c r="I12" s="1">
        <v>0</v>
      </c>
      <c r="J12" s="1" t="s">
        <v>8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9</v>
      </c>
      <c r="AC12" s="1" t="s">
        <v>10</v>
      </c>
      <c r="AD12" s="1" t="s">
        <v>11</v>
      </c>
      <c r="AE12" s="1" t="s">
        <v>12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13</v>
      </c>
      <c r="BI12" s="1" t="s">
        <v>14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3</v>
      </c>
      <c r="BZ12" s="1" t="s">
        <v>15</v>
      </c>
      <c r="CA12" s="1" t="s">
        <v>3</v>
      </c>
      <c r="CB12" s="1" t="s">
        <v>16</v>
      </c>
      <c r="CC12" s="1" t="s">
        <v>16</v>
      </c>
      <c r="CD12" s="1" t="s">
        <v>17</v>
      </c>
      <c r="CE12" s="1" t="s">
        <v>18</v>
      </c>
      <c r="CF12" s="1">
        <v>0</v>
      </c>
      <c r="CG12" s="1">
        <v>0</v>
      </c>
      <c r="CH12" s="1">
        <v>86549003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55" x14ac:dyDescent="0.2">
      <c r="IF17">
        <v>-1</v>
      </c>
    </row>
    <row r="18" spans="1:255" x14ac:dyDescent="0.2">
      <c r="A18" s="3">
        <v>52</v>
      </c>
      <c r="B18" s="3">
        <f t="shared" ref="B18:G18" si="0">B82</f>
        <v>146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6.2.1.2.3 Разметка стоянок и  монтаж дорожных знаков, поз.1</v>
      </c>
      <c r="G18" s="3" t="str">
        <f t="shared" si="0"/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H18" s="3"/>
      <c r="I18" s="3"/>
      <c r="J18" s="3"/>
      <c r="K18" s="3"/>
      <c r="L18" s="3"/>
      <c r="M18" s="3"/>
      <c r="N18" s="3"/>
      <c r="O18" s="3">
        <f t="shared" ref="O18:AT18" si="1">O82</f>
        <v>3493</v>
      </c>
      <c r="P18" s="3">
        <f t="shared" si="1"/>
        <v>3207</v>
      </c>
      <c r="Q18" s="3">
        <f t="shared" si="1"/>
        <v>198</v>
      </c>
      <c r="R18" s="3">
        <f t="shared" si="1"/>
        <v>26</v>
      </c>
      <c r="S18" s="3">
        <f t="shared" si="1"/>
        <v>88</v>
      </c>
      <c r="T18" s="3">
        <f t="shared" si="1"/>
        <v>0</v>
      </c>
      <c r="U18" s="3">
        <f t="shared" si="1"/>
        <v>10.562478</v>
      </c>
      <c r="V18" s="3">
        <f t="shared" si="1"/>
        <v>2.04542</v>
      </c>
      <c r="W18" s="3">
        <f t="shared" si="1"/>
        <v>18</v>
      </c>
      <c r="X18" s="3">
        <f t="shared" si="1"/>
        <v>162</v>
      </c>
      <c r="Y18" s="3">
        <f t="shared" si="1"/>
        <v>108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3763</v>
      </c>
      <c r="AS18" s="3">
        <f t="shared" si="1"/>
        <v>3763</v>
      </c>
      <c r="AT18" s="3">
        <f t="shared" si="1"/>
        <v>0</v>
      </c>
      <c r="AU18" s="3">
        <f t="shared" ref="AU18:BZ18" si="2">AU82</f>
        <v>0</v>
      </c>
      <c r="AV18" s="3">
        <f t="shared" si="2"/>
        <v>3207</v>
      </c>
      <c r="AW18" s="3">
        <f t="shared" si="2"/>
        <v>3207</v>
      </c>
      <c r="AX18" s="3">
        <f t="shared" si="2"/>
        <v>0</v>
      </c>
      <c r="AY18" s="3">
        <f t="shared" si="2"/>
        <v>3207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CA82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DG82</f>
        <v>18998</v>
      </c>
      <c r="DH18" s="4">
        <f t="shared" si="4"/>
        <v>13801</v>
      </c>
      <c r="DI18" s="4">
        <f t="shared" si="4"/>
        <v>1845</v>
      </c>
      <c r="DJ18" s="4">
        <f t="shared" si="4"/>
        <v>516</v>
      </c>
      <c r="DK18" s="4">
        <f t="shared" si="4"/>
        <v>3352</v>
      </c>
      <c r="DL18" s="4">
        <f t="shared" si="4"/>
        <v>0</v>
      </c>
      <c r="DM18" s="4" t="e">
        <f t="shared" si="4"/>
        <v>#REF!</v>
      </c>
      <c r="DN18" s="4">
        <f t="shared" si="4"/>
        <v>2.04542</v>
      </c>
      <c r="DO18" s="4">
        <f t="shared" si="4"/>
        <v>18</v>
      </c>
      <c r="DP18" s="4" t="e">
        <f t="shared" si="4"/>
        <v>#REF!</v>
      </c>
      <c r="DQ18" s="4" t="e">
        <f t="shared" si="4"/>
        <v>#REF!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 t="e">
        <f t="shared" si="4"/>
        <v>#REF!</v>
      </c>
      <c r="EK18" s="4" t="e">
        <f t="shared" si="4"/>
        <v>#REF!</v>
      </c>
      <c r="EL18" s="4">
        <f t="shared" si="4"/>
        <v>0</v>
      </c>
      <c r="EM18" s="4">
        <f t="shared" ref="EM18:FR18" si="5">EM82</f>
        <v>0</v>
      </c>
      <c r="EN18" s="4">
        <f t="shared" si="5"/>
        <v>13801</v>
      </c>
      <c r="EO18" s="4">
        <f t="shared" si="5"/>
        <v>13801</v>
      </c>
      <c r="EP18" s="4">
        <f t="shared" si="5"/>
        <v>0</v>
      </c>
      <c r="EQ18" s="4">
        <f t="shared" si="5"/>
        <v>13801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FS82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  <c r="IF18">
        <v>-1</v>
      </c>
    </row>
    <row r="19" spans="1:255" x14ac:dyDescent="0.2">
      <c r="IF19">
        <v>-1</v>
      </c>
    </row>
    <row r="20" spans="1:255" x14ac:dyDescent="0.2">
      <c r="A20" s="1">
        <v>3</v>
      </c>
      <c r="B20" s="1">
        <v>1</v>
      </c>
      <c r="C20" s="1"/>
      <c r="D20" s="1">
        <f>ROW(A52)</f>
        <v>52</v>
      </c>
      <c r="E20" s="1"/>
      <c r="F20" s="1" t="s">
        <v>19</v>
      </c>
      <c r="G20" s="1" t="s">
        <v>20</v>
      </c>
      <c r="H20" s="1" t="s">
        <v>3</v>
      </c>
      <c r="I20" s="1">
        <v>0</v>
      </c>
      <c r="J20" s="1" t="s">
        <v>3</v>
      </c>
      <c r="K20" s="1">
        <v>-1</v>
      </c>
      <c r="L20" s="1" t="s">
        <v>19</v>
      </c>
      <c r="M20" s="1" t="s">
        <v>3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  <c r="IF20">
        <v>-1</v>
      </c>
    </row>
    <row r="21" spans="1:255" x14ac:dyDescent="0.2">
      <c r="IF21">
        <v>-1</v>
      </c>
    </row>
    <row r="22" spans="1:255" x14ac:dyDescent="0.2">
      <c r="A22" s="3">
        <v>52</v>
      </c>
      <c r="B22" s="3">
        <f t="shared" ref="B22:G22" si="7">B52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6.2.1.2.3</v>
      </c>
      <c r="G22" s="3" t="str">
        <f t="shared" si="7"/>
        <v>Разметка стоянок и монтаж дорожных знаков</v>
      </c>
      <c r="H22" s="3"/>
      <c r="I22" s="3"/>
      <c r="J22" s="3"/>
      <c r="K22" s="3"/>
      <c r="L22" s="3"/>
      <c r="M22" s="3"/>
      <c r="N22" s="3"/>
      <c r="O22" s="3">
        <f t="shared" ref="O22:AT22" si="8">O52</f>
        <v>3493</v>
      </c>
      <c r="P22" s="3">
        <f t="shared" si="8"/>
        <v>3207</v>
      </c>
      <c r="Q22" s="3">
        <f t="shared" si="8"/>
        <v>198</v>
      </c>
      <c r="R22" s="3">
        <f t="shared" si="8"/>
        <v>26</v>
      </c>
      <c r="S22" s="3">
        <f t="shared" si="8"/>
        <v>88</v>
      </c>
      <c r="T22" s="3">
        <f t="shared" si="8"/>
        <v>0</v>
      </c>
      <c r="U22" s="3">
        <f t="shared" si="8"/>
        <v>10.562478</v>
      </c>
      <c r="V22" s="3">
        <f t="shared" si="8"/>
        <v>2.04542</v>
      </c>
      <c r="W22" s="3">
        <f t="shared" si="8"/>
        <v>18</v>
      </c>
      <c r="X22" s="3">
        <f t="shared" si="8"/>
        <v>162</v>
      </c>
      <c r="Y22" s="3">
        <f t="shared" si="8"/>
        <v>108</v>
      </c>
      <c r="Z22" s="3">
        <f t="shared" si="8"/>
        <v>0</v>
      </c>
      <c r="AA22" s="3">
        <f t="shared" si="8"/>
        <v>0</v>
      </c>
      <c r="AB22" s="3">
        <f t="shared" si="8"/>
        <v>3493</v>
      </c>
      <c r="AC22" s="3">
        <f t="shared" si="8"/>
        <v>3207</v>
      </c>
      <c r="AD22" s="3">
        <f t="shared" si="8"/>
        <v>198</v>
      </c>
      <c r="AE22" s="3">
        <f t="shared" si="8"/>
        <v>26</v>
      </c>
      <c r="AF22" s="3">
        <f t="shared" si="8"/>
        <v>88</v>
      </c>
      <c r="AG22" s="3">
        <f t="shared" si="8"/>
        <v>0</v>
      </c>
      <c r="AH22" s="3">
        <f t="shared" si="8"/>
        <v>10.562478</v>
      </c>
      <c r="AI22" s="3">
        <f t="shared" si="8"/>
        <v>2.04542</v>
      </c>
      <c r="AJ22" s="3">
        <f t="shared" si="8"/>
        <v>18</v>
      </c>
      <c r="AK22" s="3">
        <f t="shared" si="8"/>
        <v>162</v>
      </c>
      <c r="AL22" s="3">
        <f t="shared" si="8"/>
        <v>108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3763</v>
      </c>
      <c r="AS22" s="3">
        <f t="shared" si="8"/>
        <v>3763</v>
      </c>
      <c r="AT22" s="3">
        <f t="shared" si="8"/>
        <v>0</v>
      </c>
      <c r="AU22" s="3">
        <f t="shared" ref="AU22:BZ22" si="9">AU52</f>
        <v>0</v>
      </c>
      <c r="AV22" s="3">
        <f t="shared" si="9"/>
        <v>3207</v>
      </c>
      <c r="AW22" s="3">
        <f t="shared" si="9"/>
        <v>3207</v>
      </c>
      <c r="AX22" s="3">
        <f t="shared" si="9"/>
        <v>0</v>
      </c>
      <c r="AY22" s="3">
        <f t="shared" si="9"/>
        <v>3207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CA52</f>
        <v>3763</v>
      </c>
      <c r="CB22" s="3">
        <f t="shared" si="10"/>
        <v>3763</v>
      </c>
      <c r="CC22" s="3">
        <f t="shared" si="10"/>
        <v>0</v>
      </c>
      <c r="CD22" s="3">
        <f t="shared" si="10"/>
        <v>0</v>
      </c>
      <c r="CE22" s="3">
        <f t="shared" si="10"/>
        <v>3207</v>
      </c>
      <c r="CF22" s="3">
        <f t="shared" si="10"/>
        <v>3207</v>
      </c>
      <c r="CG22" s="3">
        <f t="shared" si="10"/>
        <v>0</v>
      </c>
      <c r="CH22" s="3">
        <f t="shared" si="10"/>
        <v>3207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DG52</f>
        <v>18998</v>
      </c>
      <c r="DH22" s="4">
        <f t="shared" si="11"/>
        <v>13801</v>
      </c>
      <c r="DI22" s="4">
        <f t="shared" si="11"/>
        <v>1845</v>
      </c>
      <c r="DJ22" s="4">
        <f t="shared" si="11"/>
        <v>516</v>
      </c>
      <c r="DK22" s="4">
        <f t="shared" si="11"/>
        <v>3352</v>
      </c>
      <c r="DL22" s="4">
        <f t="shared" si="11"/>
        <v>0</v>
      </c>
      <c r="DM22" s="4" t="e">
        <f t="shared" si="11"/>
        <v>#REF!</v>
      </c>
      <c r="DN22" s="4">
        <f t="shared" si="11"/>
        <v>2.04542</v>
      </c>
      <c r="DO22" s="4">
        <f t="shared" si="11"/>
        <v>18</v>
      </c>
      <c r="DP22" s="4" t="e">
        <f t="shared" si="11"/>
        <v>#REF!</v>
      </c>
      <c r="DQ22" s="4" t="e">
        <f t="shared" si="11"/>
        <v>#REF!</v>
      </c>
      <c r="DR22" s="4">
        <f t="shared" si="11"/>
        <v>0</v>
      </c>
      <c r="DS22" s="4">
        <f t="shared" si="11"/>
        <v>0</v>
      </c>
      <c r="DT22" s="4">
        <f t="shared" si="11"/>
        <v>18998</v>
      </c>
      <c r="DU22" s="4">
        <f t="shared" si="11"/>
        <v>13801</v>
      </c>
      <c r="DV22" s="4">
        <f t="shared" si="11"/>
        <v>1845</v>
      </c>
      <c r="DW22" s="4">
        <f t="shared" si="11"/>
        <v>516</v>
      </c>
      <c r="DX22" s="4">
        <f t="shared" si="11"/>
        <v>3352</v>
      </c>
      <c r="DY22" s="4">
        <f t="shared" si="11"/>
        <v>0</v>
      </c>
      <c r="DZ22" s="4" t="e">
        <f t="shared" si="11"/>
        <v>#REF!</v>
      </c>
      <c r="EA22" s="4">
        <f t="shared" si="11"/>
        <v>2.04542</v>
      </c>
      <c r="EB22" s="4">
        <f t="shared" si="11"/>
        <v>18</v>
      </c>
      <c r="EC22" s="4" t="e">
        <f t="shared" si="11"/>
        <v>#REF!</v>
      </c>
      <c r="ED22" s="4" t="e">
        <f t="shared" si="11"/>
        <v>#REF!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 t="e">
        <f t="shared" si="11"/>
        <v>#REF!</v>
      </c>
      <c r="EK22" s="4" t="e">
        <f t="shared" si="11"/>
        <v>#REF!</v>
      </c>
      <c r="EL22" s="4">
        <f t="shared" si="11"/>
        <v>0</v>
      </c>
      <c r="EM22" s="4">
        <f t="shared" ref="EM22:FR22" si="12">EM52</f>
        <v>0</v>
      </c>
      <c r="EN22" s="4">
        <f t="shared" si="12"/>
        <v>13801</v>
      </c>
      <c r="EO22" s="4">
        <f t="shared" si="12"/>
        <v>13801</v>
      </c>
      <c r="EP22" s="4">
        <f t="shared" si="12"/>
        <v>0</v>
      </c>
      <c r="EQ22" s="4">
        <f t="shared" si="12"/>
        <v>13801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 t="e">
        <f t="shared" ref="FS22:GX22" si="13">FS52</f>
        <v>#REF!</v>
      </c>
      <c r="FT22" s="4" t="e">
        <f t="shared" si="13"/>
        <v>#REF!</v>
      </c>
      <c r="FU22" s="4">
        <f t="shared" si="13"/>
        <v>0</v>
      </c>
      <c r="FV22" s="4">
        <f t="shared" si="13"/>
        <v>0</v>
      </c>
      <c r="FW22" s="4">
        <f t="shared" si="13"/>
        <v>13801</v>
      </c>
      <c r="FX22" s="4">
        <f t="shared" si="13"/>
        <v>13801</v>
      </c>
      <c r="FY22" s="4">
        <f t="shared" si="13"/>
        <v>0</v>
      </c>
      <c r="FZ22" s="4">
        <f t="shared" si="13"/>
        <v>13801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  <c r="IF22">
        <v>-1</v>
      </c>
    </row>
    <row r="23" spans="1:255" x14ac:dyDescent="0.2">
      <c r="IF23">
        <v>-1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3</v>
      </c>
      <c r="G24" s="2" t="s">
        <v>21</v>
      </c>
      <c r="H24" s="2" t="s">
        <v>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>
        <v>-1</v>
      </c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 s="2">
        <v>17</v>
      </c>
      <c r="B25" s="2">
        <v>1</v>
      </c>
      <c r="C25" s="2">
        <f>ROW(SmtRes!A6)</f>
        <v>6</v>
      </c>
      <c r="D25" s="2">
        <f>ROW(EtalonRes!A6)</f>
        <v>6</v>
      </c>
      <c r="E25" s="2" t="s">
        <v>22</v>
      </c>
      <c r="F25" s="2" t="s">
        <v>23</v>
      </c>
      <c r="G25" s="2" t="s">
        <v>24</v>
      </c>
      <c r="H25" s="2" t="s">
        <v>25</v>
      </c>
      <c r="I25" s="2">
        <f>'ТЗ '!E19</f>
        <v>0.64600000000000002</v>
      </c>
      <c r="J25" s="2">
        <v>0</v>
      </c>
      <c r="K25" s="2">
        <f>ROUND((564+12+70)/1000,9)</f>
        <v>0.64600000000000002</v>
      </c>
      <c r="L25" s="2"/>
      <c r="M25" s="2"/>
      <c r="N25" s="2"/>
      <c r="O25" s="2">
        <f t="shared" ref="O25:O50" si="14">ROUND(CP25,0)</f>
        <v>126</v>
      </c>
      <c r="P25" s="2">
        <f t="shared" ref="P25:P50" si="15">ROUND(CQ25*I25,0)</f>
        <v>0</v>
      </c>
      <c r="Q25" s="2">
        <f t="shared" ref="Q25:Q50" si="16">ROUND(CR25*I25,0)</f>
        <v>108</v>
      </c>
      <c r="R25" s="2">
        <f t="shared" ref="R25:R50" si="17">ROUND(CS25*I25,0)</f>
        <v>17</v>
      </c>
      <c r="S25" s="2">
        <f t="shared" ref="S25:S50" si="18">ROUND(CT25*I25,0)</f>
        <v>18</v>
      </c>
      <c r="T25" s="2">
        <f t="shared" ref="T25:T50" si="19">ROUND(CU25*I25,0)</f>
        <v>0</v>
      </c>
      <c r="U25" s="2">
        <f t="shared" ref="U25:U50" si="20">CV25*I25</f>
        <v>2.36436</v>
      </c>
      <c r="V25" s="2">
        <f t="shared" ref="V25:V50" si="21">CW25*I25</f>
        <v>1.3178400000000001</v>
      </c>
      <c r="W25" s="2">
        <f t="shared" ref="W25:W50" si="22">ROUND(CX25*I25,0)</f>
        <v>0</v>
      </c>
      <c r="X25" s="2">
        <f t="shared" ref="X25:X50" si="23">ROUND(CY25,0)</f>
        <v>50</v>
      </c>
      <c r="Y25" s="2">
        <f t="shared" ref="Y25:Y50" si="24">ROUND(CZ25,0)</f>
        <v>33</v>
      </c>
      <c r="Z25" s="2"/>
      <c r="AA25" s="2">
        <v>71570243</v>
      </c>
      <c r="AB25" s="2">
        <f t="shared" ref="AB25:AB50" si="25">ROUND((AC25+AD25+AF25),2)</f>
        <v>196.08</v>
      </c>
      <c r="AC25" s="2">
        <f>ROUND((ES25+(SUM(SmtRes!BC1:'SmtRes'!BC6)+SUM(EtalonRes!AL1:'EtalonRes'!AL6))),2)</f>
        <v>0</v>
      </c>
      <c r="AD25" s="2">
        <f t="shared" ref="AD25:AD50" si="26">ROUND((((ET25)-(EU25))+AE25),2)</f>
        <v>167.75</v>
      </c>
      <c r="AE25" s="2">
        <f t="shared" ref="AE25:AE50" si="27">ROUND((EU25),2)</f>
        <v>25.79</v>
      </c>
      <c r="AF25" s="2">
        <f t="shared" ref="AF25:AF50" si="28">ROUND((EV25),2)</f>
        <v>28.33</v>
      </c>
      <c r="AG25" s="2">
        <f t="shared" ref="AG25:AG50" si="29">ROUND((AP25),2)</f>
        <v>0</v>
      </c>
      <c r="AH25" s="2">
        <f t="shared" ref="AH25:AH50" si="30">(EW25)</f>
        <v>3.66</v>
      </c>
      <c r="AI25" s="2">
        <f t="shared" ref="AI25:AI50" si="31">(EX25)</f>
        <v>2.04</v>
      </c>
      <c r="AJ25" s="2">
        <f t="shared" ref="AJ25:AJ50" si="32">(AS25)</f>
        <v>0</v>
      </c>
      <c r="AK25" s="2">
        <v>1276.5</v>
      </c>
      <c r="AL25" s="2">
        <v>1080.42</v>
      </c>
      <c r="AM25" s="2">
        <v>167.75</v>
      </c>
      <c r="AN25" s="2">
        <v>25.79</v>
      </c>
      <c r="AO25" s="2">
        <v>28.33</v>
      </c>
      <c r="AP25" s="2">
        <v>0</v>
      </c>
      <c r="AQ25" s="2">
        <v>3.66</v>
      </c>
      <c r="AR25" s="2">
        <v>2.04</v>
      </c>
      <c r="AS25" s="2">
        <v>0</v>
      </c>
      <c r="AT25" s="2">
        <v>142</v>
      </c>
      <c r="AU25" s="2">
        <v>95</v>
      </c>
      <c r="AV25" s="2">
        <v>1</v>
      </c>
      <c r="AW25" s="2">
        <v>1</v>
      </c>
      <c r="AX25" s="2"/>
      <c r="AY25" s="2"/>
      <c r="AZ25" s="2">
        <v>1</v>
      </c>
      <c r="BA25" s="2">
        <v>1</v>
      </c>
      <c r="BB25" s="2">
        <v>1</v>
      </c>
      <c r="BC25" s="2">
        <v>1</v>
      </c>
      <c r="BD25" s="2" t="s">
        <v>3</v>
      </c>
      <c r="BE25" s="2" t="s">
        <v>3</v>
      </c>
      <c r="BF25" s="2" t="s">
        <v>3</v>
      </c>
      <c r="BG25" s="2" t="s">
        <v>3</v>
      </c>
      <c r="BH25" s="2">
        <v>0</v>
      </c>
      <c r="BI25" s="2">
        <v>1</v>
      </c>
      <c r="BJ25" s="2" t="s">
        <v>26</v>
      </c>
      <c r="BK25" s="2"/>
      <c r="BL25" s="2"/>
      <c r="BM25" s="2">
        <v>27001</v>
      </c>
      <c r="BN25" s="2">
        <v>0</v>
      </c>
      <c r="BO25" s="2" t="s">
        <v>3</v>
      </c>
      <c r="BP25" s="2">
        <v>0</v>
      </c>
      <c r="BQ25" s="2">
        <v>1</v>
      </c>
      <c r="BR25" s="2">
        <v>0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 t="s">
        <v>3</v>
      </c>
      <c r="BZ25" s="2">
        <v>142</v>
      </c>
      <c r="CA25" s="2">
        <v>95</v>
      </c>
      <c r="CB25" s="2" t="s">
        <v>3</v>
      </c>
      <c r="CC25" s="2"/>
      <c r="CD25" s="2"/>
      <c r="CE25" s="2">
        <v>0</v>
      </c>
      <c r="CF25" s="2">
        <v>0</v>
      </c>
      <c r="CG25" s="2">
        <v>0</v>
      </c>
      <c r="CH25" s="2"/>
      <c r="CI25" s="2"/>
      <c r="CJ25" s="2"/>
      <c r="CK25" s="2"/>
      <c r="CL25" s="2"/>
      <c r="CM25" s="2">
        <v>0</v>
      </c>
      <c r="CN25" s="2" t="s">
        <v>3</v>
      </c>
      <c r="CO25" s="2">
        <v>0</v>
      </c>
      <c r="CP25" s="2">
        <f t="shared" ref="CP25:CP50" si="33">(P25+Q25+S25)</f>
        <v>126</v>
      </c>
      <c r="CQ25" s="2">
        <f t="shared" ref="CQ25:CQ50" si="34">AC25*BC25</f>
        <v>0</v>
      </c>
      <c r="CR25" s="2">
        <f t="shared" ref="CR25:CR50" si="35">AD25*BB25</f>
        <v>167.75</v>
      </c>
      <c r="CS25" s="2">
        <f t="shared" ref="CS25:CS50" si="36">AE25*BS25</f>
        <v>25.79</v>
      </c>
      <c r="CT25" s="2">
        <f t="shared" ref="CT25:CT50" si="37">AF25*BA25</f>
        <v>28.33</v>
      </c>
      <c r="CU25" s="2">
        <f t="shared" ref="CU25:CU50" si="38">AG25</f>
        <v>0</v>
      </c>
      <c r="CV25" s="2">
        <f t="shared" ref="CV25:CV50" si="39">AH25</f>
        <v>3.66</v>
      </c>
      <c r="CW25" s="2">
        <f t="shared" ref="CW25:CW50" si="40">AI25</f>
        <v>2.04</v>
      </c>
      <c r="CX25" s="2">
        <f t="shared" ref="CX25:CX50" si="41">AJ25</f>
        <v>0</v>
      </c>
      <c r="CY25" s="2">
        <f>(((S25+(R25*IF(0,0,1)))*AT25)/100)</f>
        <v>49.7</v>
      </c>
      <c r="CZ25" s="2">
        <f>(((S25+(R25*IF(0,0,1)))*AU25)/100)</f>
        <v>33.25</v>
      </c>
      <c r="DA25" s="2"/>
      <c r="DB25" s="2"/>
      <c r="DC25" s="2" t="s">
        <v>3</v>
      </c>
      <c r="DD25" s="2" t="s">
        <v>3</v>
      </c>
      <c r="DE25" s="2" t="s">
        <v>3</v>
      </c>
      <c r="DF25" s="2" t="s">
        <v>3</v>
      </c>
      <c r="DG25" s="2" t="s">
        <v>3</v>
      </c>
      <c r="DH25" s="2" t="s">
        <v>3</v>
      </c>
      <c r="DI25" s="2" t="s">
        <v>3</v>
      </c>
      <c r="DJ25" s="2" t="s">
        <v>3</v>
      </c>
      <c r="DK25" s="2" t="s">
        <v>3</v>
      </c>
      <c r="DL25" s="2" t="s">
        <v>3</v>
      </c>
      <c r="DM25" s="2" t="s">
        <v>3</v>
      </c>
      <c r="DN25" s="2">
        <v>0</v>
      </c>
      <c r="DO25" s="2">
        <v>0</v>
      </c>
      <c r="DP25" s="2">
        <v>1</v>
      </c>
      <c r="DQ25" s="2">
        <v>1</v>
      </c>
      <c r="DR25" s="2"/>
      <c r="DS25" s="2"/>
      <c r="DT25" s="2"/>
      <c r="DU25" s="2">
        <v>1013</v>
      </c>
      <c r="DV25" s="2" t="s">
        <v>25</v>
      </c>
      <c r="DW25" s="2" t="s">
        <v>25</v>
      </c>
      <c r="DX25" s="2">
        <v>1</v>
      </c>
      <c r="DY25" s="2"/>
      <c r="DZ25" s="2" t="s">
        <v>3</v>
      </c>
      <c r="EA25" s="2" t="s">
        <v>3</v>
      </c>
      <c r="EB25" s="2" t="s">
        <v>3</v>
      </c>
      <c r="EC25" s="2" t="s">
        <v>3</v>
      </c>
      <c r="ED25" s="2"/>
      <c r="EE25" s="2">
        <v>66511559</v>
      </c>
      <c r="EF25" s="2">
        <v>1</v>
      </c>
      <c r="EG25" s="2" t="s">
        <v>27</v>
      </c>
      <c r="EH25" s="2">
        <v>0</v>
      </c>
      <c r="EI25" s="2" t="s">
        <v>3</v>
      </c>
      <c r="EJ25" s="2">
        <v>1</v>
      </c>
      <c r="EK25" s="2">
        <v>27001</v>
      </c>
      <c r="EL25" s="2" t="s">
        <v>28</v>
      </c>
      <c r="EM25" s="2" t="s">
        <v>29</v>
      </c>
      <c r="EN25" s="2"/>
      <c r="EO25" s="2" t="s">
        <v>3</v>
      </c>
      <c r="EP25" s="2"/>
      <c r="EQ25" s="2">
        <v>131072</v>
      </c>
      <c r="ER25" s="2">
        <v>1276.5</v>
      </c>
      <c r="ES25" s="2">
        <v>1080.42</v>
      </c>
      <c r="ET25" s="2">
        <v>167.75</v>
      </c>
      <c r="EU25" s="2">
        <v>25.79</v>
      </c>
      <c r="EV25" s="2">
        <v>28.33</v>
      </c>
      <c r="EW25" s="2">
        <v>3.66</v>
      </c>
      <c r="EX25" s="2">
        <v>2.04</v>
      </c>
      <c r="EY25" s="2">
        <v>1</v>
      </c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>
        <v>0</v>
      </c>
      <c r="FR25" s="2">
        <f t="shared" ref="FR25:FR50" si="42">ROUND(IF(BI25=3,GM25,0),0)</f>
        <v>0</v>
      </c>
      <c r="FS25" s="2">
        <v>0</v>
      </c>
      <c r="FT25" s="2"/>
      <c r="FU25" s="2"/>
      <c r="FV25" s="2"/>
      <c r="FW25" s="2"/>
      <c r="FX25" s="2">
        <v>142</v>
      </c>
      <c r="FY25" s="2">
        <v>95</v>
      </c>
      <c r="FZ25" s="2"/>
      <c r="GA25" s="2" t="s">
        <v>3</v>
      </c>
      <c r="GB25" s="2"/>
      <c r="GC25" s="2"/>
      <c r="GD25" s="2">
        <v>1</v>
      </c>
      <c r="GE25" s="2"/>
      <c r="GF25" s="2">
        <v>409474984</v>
      </c>
      <c r="GG25" s="2">
        <v>2</v>
      </c>
      <c r="GH25" s="2">
        <v>1</v>
      </c>
      <c r="GI25" s="2">
        <v>-2</v>
      </c>
      <c r="GJ25" s="2">
        <v>0</v>
      </c>
      <c r="GK25" s="2">
        <v>0</v>
      </c>
      <c r="GL25" s="2">
        <f t="shared" ref="GL25:GL50" si="43">ROUND(IF(AND(BH25=3,BI25=3,FS25&lt;&gt;0),P25,0),0)</f>
        <v>0</v>
      </c>
      <c r="GM25" s="2">
        <f t="shared" ref="GM25:GM50" si="44">ROUND(O25+X25+Y25,0)+GX25</f>
        <v>209</v>
      </c>
      <c r="GN25" s="2">
        <f t="shared" ref="GN25:GN50" si="45">IF(OR(BI25=0,BI25=1),GM25-GX25,0)</f>
        <v>209</v>
      </c>
      <c r="GO25" s="2">
        <f t="shared" ref="GO25:GO50" si="46">IF(BI25=2,GM25-GX25,0)</f>
        <v>0</v>
      </c>
      <c r="GP25" s="2">
        <f t="shared" ref="GP25:GP50" si="47">IF(BI25=4,GM25-GX25,0)</f>
        <v>0</v>
      </c>
      <c r="GQ25" s="2"/>
      <c r="GR25" s="2">
        <v>0</v>
      </c>
      <c r="GS25" s="2">
        <v>3</v>
      </c>
      <c r="GT25" s="2">
        <v>0</v>
      </c>
      <c r="GU25" s="2" t="s">
        <v>3</v>
      </c>
      <c r="GV25" s="2">
        <f t="shared" ref="GV25:GV50" si="48">ROUND((GT25),2)</f>
        <v>0</v>
      </c>
      <c r="GW25" s="2">
        <v>1</v>
      </c>
      <c r="GX25" s="2">
        <f t="shared" ref="GX25:GX50" si="49">ROUND(HC25*I25,0)</f>
        <v>0</v>
      </c>
      <c r="GY25" s="2"/>
      <c r="GZ25" s="2"/>
      <c r="HA25" s="2">
        <v>0</v>
      </c>
      <c r="HB25" s="2">
        <v>0</v>
      </c>
      <c r="HC25" s="2">
        <f t="shared" ref="HC25:HC50" si="50">GV25*GW25</f>
        <v>0</v>
      </c>
      <c r="HD25" s="2"/>
      <c r="HE25" s="2" t="s">
        <v>3</v>
      </c>
      <c r="HF25" s="2" t="s">
        <v>3</v>
      </c>
      <c r="HG25" s="2"/>
      <c r="HH25" s="2"/>
      <c r="HI25" s="2"/>
      <c r="HJ25" s="2"/>
      <c r="HK25" s="2"/>
      <c r="HL25" s="2"/>
      <c r="HM25" s="2" t="s">
        <v>3</v>
      </c>
      <c r="HN25" s="2" t="s">
        <v>3</v>
      </c>
      <c r="HO25" s="2" t="s">
        <v>3</v>
      </c>
      <c r="HP25" s="2" t="s">
        <v>3</v>
      </c>
      <c r="HQ25" s="2" t="s">
        <v>3</v>
      </c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>
        <v>-1</v>
      </c>
      <c r="IG25" s="2"/>
      <c r="IH25" s="2"/>
      <c r="II25" s="2"/>
      <c r="IJ25" s="2"/>
      <c r="IK25" s="2">
        <v>0</v>
      </c>
      <c r="IL25" s="2" t="s">
        <v>296</v>
      </c>
      <c r="IM25" s="2">
        <v>0.64600000000000002</v>
      </c>
      <c r="IN25" s="2"/>
      <c r="IO25" s="2"/>
      <c r="IP25" s="2"/>
      <c r="IQ25" s="2"/>
      <c r="IR25" s="2"/>
      <c r="IS25" s="2"/>
      <c r="IT25" s="2"/>
      <c r="IU25" s="2"/>
    </row>
    <row r="26" spans="1:255" x14ac:dyDescent="0.2">
      <c r="A26">
        <v>17</v>
      </c>
      <c r="B26">
        <v>1</v>
      </c>
      <c r="C26">
        <f>ROW(SmtRes!A12)</f>
        <v>12</v>
      </c>
      <c r="D26">
        <f>ROW(EtalonRes!A12)</f>
        <v>12</v>
      </c>
      <c r="E26" t="s">
        <v>22</v>
      </c>
      <c r="F26" t="s">
        <v>23</v>
      </c>
      <c r="G26" t="s">
        <v>24</v>
      </c>
      <c r="H26" t="s">
        <v>25</v>
      </c>
      <c r="I26">
        <f>'ТЗ '!E19</f>
        <v>0.64600000000000002</v>
      </c>
      <c r="J26">
        <v>0</v>
      </c>
      <c r="K26">
        <f>ROUND((564+12+70)/1000,9)</f>
        <v>0.64600000000000002</v>
      </c>
      <c r="O26">
        <f t="shared" si="14"/>
        <v>1703</v>
      </c>
      <c r="P26">
        <f t="shared" si="15"/>
        <v>0</v>
      </c>
      <c r="Q26">
        <f t="shared" si="16"/>
        <v>1008</v>
      </c>
      <c r="R26">
        <f t="shared" si="17"/>
        <v>330</v>
      </c>
      <c r="S26">
        <f t="shared" si="18"/>
        <v>695</v>
      </c>
      <c r="T26">
        <f t="shared" si="19"/>
        <v>0</v>
      </c>
      <c r="U26" t="e">
        <f t="shared" si="20"/>
        <v>#REF!</v>
      </c>
      <c r="V26">
        <f t="shared" si="21"/>
        <v>1.3178400000000001</v>
      </c>
      <c r="W26">
        <f t="shared" si="22"/>
        <v>0</v>
      </c>
      <c r="X26" t="e">
        <f t="shared" si="23"/>
        <v>#REF!</v>
      </c>
      <c r="Y26" t="e">
        <f t="shared" si="24"/>
        <v>#REF!</v>
      </c>
      <c r="AA26">
        <v>71570244</v>
      </c>
      <c r="AB26">
        <f t="shared" si="25"/>
        <v>196.08</v>
      </c>
      <c r="AC26">
        <f>ROUND((ES26+(SUM(SmtRes!BC7:'SmtRes'!BC12)+SUM(EtalonRes!AL7:'EtalonRes'!AL12))),2)</f>
        <v>0</v>
      </c>
      <c r="AD26">
        <f t="shared" si="26"/>
        <v>167.75</v>
      </c>
      <c r="AE26">
        <f t="shared" si="27"/>
        <v>25.79</v>
      </c>
      <c r="AF26">
        <f t="shared" si="28"/>
        <v>28.33</v>
      </c>
      <c r="AG26">
        <f t="shared" si="29"/>
        <v>0</v>
      </c>
      <c r="AH26" t="e">
        <f t="shared" si="30"/>
        <v>#REF!</v>
      </c>
      <c r="AI26">
        <f t="shared" si="31"/>
        <v>2.04</v>
      </c>
      <c r="AJ26">
        <f t="shared" si="32"/>
        <v>0</v>
      </c>
      <c r="AK26">
        <f>AL26+AM26+AO26</f>
        <v>1276.5</v>
      </c>
      <c r="AL26">
        <v>1080.42</v>
      </c>
      <c r="AM26" s="79">
        <f>'1.Лок.смета.и.Акт'!F53</f>
        <v>167.75</v>
      </c>
      <c r="AN26" s="79">
        <f>'1.Лок.смета.и.Акт'!F54</f>
        <v>25.79</v>
      </c>
      <c r="AO26" s="79">
        <f>'1.Лок.смета.и.Акт'!F52</f>
        <v>28.33</v>
      </c>
      <c r="AP26">
        <v>0</v>
      </c>
      <c r="AQ26" t="e">
        <f>'ТЗ '!#REF!</f>
        <v>#REF!</v>
      </c>
      <c r="AR26">
        <v>2.04</v>
      </c>
      <c r="AS26">
        <v>0</v>
      </c>
      <c r="AT26">
        <v>135</v>
      </c>
      <c r="AU26">
        <v>81</v>
      </c>
      <c r="AV26">
        <v>1</v>
      </c>
      <c r="AW26">
        <v>1</v>
      </c>
      <c r="AZ26">
        <v>1</v>
      </c>
      <c r="BA26">
        <f>'1.Лок.смета.и.Акт'!J52</f>
        <v>38</v>
      </c>
      <c r="BB26">
        <f>'1.Лок.смета.и.Акт'!J53</f>
        <v>9.3000000000000007</v>
      </c>
      <c r="BC26">
        <v>7.56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1</v>
      </c>
      <c r="BJ26" t="s">
        <v>26</v>
      </c>
      <c r="BM26">
        <v>27001</v>
      </c>
      <c r="BN26">
        <v>0</v>
      </c>
      <c r="BO26" t="s">
        <v>23</v>
      </c>
      <c r="BP26">
        <v>1</v>
      </c>
      <c r="BQ26">
        <v>1</v>
      </c>
      <c r="BR26">
        <v>0</v>
      </c>
      <c r="BS26">
        <f>'1.Лок.смета.и.Акт'!J54</f>
        <v>19.8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 t="e">
        <f>'ТЗ '!#REF!</f>
        <v>#REF!</v>
      </c>
      <c r="CA26" t="e">
        <f>'ТЗ '!#REF!</f>
        <v>#REF!</v>
      </c>
      <c r="CB26" t="s">
        <v>3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3"/>
        <v>1703</v>
      </c>
      <c r="CQ26">
        <f t="shared" si="34"/>
        <v>0</v>
      </c>
      <c r="CR26">
        <f t="shared" si="35"/>
        <v>1560.075</v>
      </c>
      <c r="CS26">
        <f t="shared" si="36"/>
        <v>510.642</v>
      </c>
      <c r="CT26">
        <f t="shared" si="37"/>
        <v>1076.54</v>
      </c>
      <c r="CU26">
        <f t="shared" si="38"/>
        <v>0</v>
      </c>
      <c r="CV26" t="e">
        <f t="shared" si="39"/>
        <v>#REF!</v>
      </c>
      <c r="CW26">
        <f t="shared" si="40"/>
        <v>2.04</v>
      </c>
      <c r="CX26">
        <f t="shared" si="41"/>
        <v>0</v>
      </c>
      <c r="CY26" t="e">
        <f>(S26+R26)*(BZ26/100)</f>
        <v>#REF!</v>
      </c>
      <c r="CZ26" t="e">
        <f>(S26+R26)*(CA26/100)</f>
        <v>#REF!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f>'1.Лок.смета.и.Акт'!E55</f>
        <v>142</v>
      </c>
      <c r="DO26">
        <f>'1.Лок.смета.и.Акт'!E56</f>
        <v>95</v>
      </c>
      <c r="DP26">
        <v>1</v>
      </c>
      <c r="DQ26">
        <v>1</v>
      </c>
      <c r="DU26">
        <v>1013</v>
      </c>
      <c r="DV26" t="s">
        <v>25</v>
      </c>
      <c r="DW26" t="str">
        <f>'ТЗ '!D19</f>
        <v>1 км линии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66511559</v>
      </c>
      <c r="EF26">
        <v>1</v>
      </c>
      <c r="EG26" t="s">
        <v>27</v>
      </c>
      <c r="EH26">
        <v>0</v>
      </c>
      <c r="EI26" t="s">
        <v>3</v>
      </c>
      <c r="EJ26">
        <v>1</v>
      </c>
      <c r="EK26">
        <v>27001</v>
      </c>
      <c r="EL26" t="s">
        <v>28</v>
      </c>
      <c r="EM26" t="s">
        <v>29</v>
      </c>
      <c r="EO26" t="s">
        <v>3</v>
      </c>
      <c r="EQ26">
        <v>131072</v>
      </c>
      <c r="ER26">
        <f>ES26+ET26+EV26</f>
        <v>1276.5</v>
      </c>
      <c r="ES26">
        <v>1080.42</v>
      </c>
      <c r="ET26" s="79">
        <f>'1.Лок.смета.и.Акт'!F53</f>
        <v>167.75</v>
      </c>
      <c r="EU26" s="79">
        <f>'1.Лок.смета.и.Акт'!F54</f>
        <v>25.79</v>
      </c>
      <c r="EV26" s="79">
        <f>'1.Лок.смета.и.Акт'!F52</f>
        <v>28.33</v>
      </c>
      <c r="EW26" t="e">
        <f>'ТЗ '!#REF!</f>
        <v>#REF!</v>
      </c>
      <c r="EX26">
        <v>2.04</v>
      </c>
      <c r="EY26">
        <v>1</v>
      </c>
      <c r="FQ26">
        <v>0</v>
      </c>
      <c r="FR26">
        <f t="shared" si="42"/>
        <v>0</v>
      </c>
      <c r="FS26">
        <v>0</v>
      </c>
      <c r="FX26">
        <v>142</v>
      </c>
      <c r="FY26">
        <v>95</v>
      </c>
      <c r="GA26" t="s">
        <v>3</v>
      </c>
      <c r="GD26">
        <v>1</v>
      </c>
      <c r="GF26">
        <v>409474984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3"/>
        <v>0</v>
      </c>
      <c r="GM26" t="e">
        <f t="shared" si="44"/>
        <v>#REF!</v>
      </c>
      <c r="GN26" t="e">
        <f t="shared" si="45"/>
        <v>#REF!</v>
      </c>
      <c r="GO26">
        <f t="shared" si="46"/>
        <v>0</v>
      </c>
      <c r="GP26">
        <f t="shared" si="47"/>
        <v>0</v>
      </c>
      <c r="GR26">
        <v>0</v>
      </c>
      <c r="GS26">
        <v>3</v>
      </c>
      <c r="GT26">
        <v>0</v>
      </c>
      <c r="GU26" t="s">
        <v>3</v>
      </c>
      <c r="GV26">
        <f t="shared" si="48"/>
        <v>0</v>
      </c>
      <c r="GW26">
        <v>1010.5</v>
      </c>
      <c r="GX26">
        <f t="shared" si="49"/>
        <v>0</v>
      </c>
      <c r="HA26">
        <v>0</v>
      </c>
      <c r="HB26">
        <v>0</v>
      </c>
      <c r="HC26">
        <f t="shared" si="50"/>
        <v>0</v>
      </c>
      <c r="HE26" t="s">
        <v>3</v>
      </c>
      <c r="HF26" t="s">
        <v>3</v>
      </c>
      <c r="HM26" t="s">
        <v>3</v>
      </c>
      <c r="HN26" t="s">
        <v>3</v>
      </c>
      <c r="HO26" t="s">
        <v>3</v>
      </c>
      <c r="HP26" t="s">
        <v>3</v>
      </c>
      <c r="HQ26" t="s">
        <v>3</v>
      </c>
      <c r="IF26">
        <v>-1</v>
      </c>
      <c r="IK26">
        <v>0</v>
      </c>
      <c r="IL26" t="s">
        <v>296</v>
      </c>
      <c r="IM26">
        <v>0.64600000000000002</v>
      </c>
    </row>
    <row r="27" spans="1:255" x14ac:dyDescent="0.2">
      <c r="A27" s="2">
        <v>18</v>
      </c>
      <c r="B27" s="2">
        <v>1</v>
      </c>
      <c r="C27" s="2">
        <v>5</v>
      </c>
      <c r="D27" s="2"/>
      <c r="E27" s="2" t="s">
        <v>30</v>
      </c>
      <c r="F27" s="2" t="s">
        <v>31</v>
      </c>
      <c r="G27" s="2" t="s">
        <v>32</v>
      </c>
      <c r="H27" s="2" t="s">
        <v>33</v>
      </c>
      <c r="I27" s="2">
        <f>I25*J27</f>
        <v>5.1699999999999999E-4</v>
      </c>
      <c r="J27" s="2">
        <v>8.0030959752321973E-4</v>
      </c>
      <c r="K27" s="2">
        <v>8.0000000000000004E-4</v>
      </c>
      <c r="L27" s="2"/>
      <c r="M27" s="2"/>
      <c r="N27" s="2"/>
      <c r="O27" s="2">
        <f t="shared" si="14"/>
        <v>21</v>
      </c>
      <c r="P27" s="2">
        <f t="shared" si="15"/>
        <v>21</v>
      </c>
      <c r="Q27" s="2">
        <f t="shared" si="16"/>
        <v>0</v>
      </c>
      <c r="R27" s="2">
        <f t="shared" si="17"/>
        <v>0</v>
      </c>
      <c r="S27" s="2">
        <f t="shared" si="18"/>
        <v>0</v>
      </c>
      <c r="T27" s="2">
        <f t="shared" si="19"/>
        <v>0</v>
      </c>
      <c r="U27" s="2">
        <f t="shared" si="20"/>
        <v>0</v>
      </c>
      <c r="V27" s="2">
        <f t="shared" si="21"/>
        <v>0</v>
      </c>
      <c r="W27" s="2">
        <f t="shared" si="22"/>
        <v>0</v>
      </c>
      <c r="X27" s="2">
        <f t="shared" si="23"/>
        <v>0</v>
      </c>
      <c r="Y27" s="2">
        <f t="shared" si="24"/>
        <v>0</v>
      </c>
      <c r="Z27" s="2"/>
      <c r="AA27" s="2">
        <v>71570243</v>
      </c>
      <c r="AB27" s="2">
        <f t="shared" si="25"/>
        <v>40650</v>
      </c>
      <c r="AC27" s="2">
        <f>ROUND((ES27),2)</f>
        <v>40650</v>
      </c>
      <c r="AD27" s="2">
        <f t="shared" si="26"/>
        <v>0</v>
      </c>
      <c r="AE27" s="2">
        <f t="shared" si="27"/>
        <v>0</v>
      </c>
      <c r="AF27" s="2">
        <f t="shared" si="28"/>
        <v>0</v>
      </c>
      <c r="AG27" s="2">
        <f t="shared" si="29"/>
        <v>0</v>
      </c>
      <c r="AH27" s="2">
        <f t="shared" si="30"/>
        <v>0</v>
      </c>
      <c r="AI27" s="2">
        <f t="shared" si="31"/>
        <v>0</v>
      </c>
      <c r="AJ27" s="2">
        <f t="shared" si="32"/>
        <v>0</v>
      </c>
      <c r="AK27" s="2">
        <v>40650</v>
      </c>
      <c r="AL27" s="103">
        <f>'1.Лок.смета.и.Акт'!F58</f>
        <v>40650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1</v>
      </c>
      <c r="AW27" s="2">
        <v>1</v>
      </c>
      <c r="AX27" s="2"/>
      <c r="AY27" s="2"/>
      <c r="AZ27" s="2">
        <v>1</v>
      </c>
      <c r="BA27" s="2">
        <v>1</v>
      </c>
      <c r="BB27" s="2">
        <v>1</v>
      </c>
      <c r="BC27" s="2">
        <v>1</v>
      </c>
      <c r="BD27" s="2" t="s">
        <v>3</v>
      </c>
      <c r="BE27" s="2" t="s">
        <v>3</v>
      </c>
      <c r="BF27" s="2" t="s">
        <v>3</v>
      </c>
      <c r="BG27" s="2" t="s">
        <v>3</v>
      </c>
      <c r="BH27" s="2">
        <v>3</v>
      </c>
      <c r="BI27" s="2">
        <v>1</v>
      </c>
      <c r="BJ27" s="2" t="s">
        <v>34</v>
      </c>
      <c r="BK27" s="2"/>
      <c r="BL27" s="2"/>
      <c r="BM27" s="2">
        <v>500001</v>
      </c>
      <c r="BN27" s="2">
        <v>0</v>
      </c>
      <c r="BO27" s="2" t="s">
        <v>3</v>
      </c>
      <c r="BP27" s="2">
        <v>0</v>
      </c>
      <c r="BQ27" s="2">
        <v>20</v>
      </c>
      <c r="BR27" s="2">
        <v>0</v>
      </c>
      <c r="BS27" s="2">
        <v>1</v>
      </c>
      <c r="BT27" s="2">
        <v>1</v>
      </c>
      <c r="BU27" s="2">
        <v>1</v>
      </c>
      <c r="BV27" s="2">
        <v>1</v>
      </c>
      <c r="BW27" s="2">
        <v>1</v>
      </c>
      <c r="BX27" s="2">
        <v>1</v>
      </c>
      <c r="BY27" s="2" t="s">
        <v>3</v>
      </c>
      <c r="BZ27" s="2">
        <v>0</v>
      </c>
      <c r="CA27" s="2">
        <v>0</v>
      </c>
      <c r="CB27" s="2" t="s">
        <v>3</v>
      </c>
      <c r="CC27" s="2"/>
      <c r="CD27" s="2"/>
      <c r="CE27" s="2">
        <v>0</v>
      </c>
      <c r="CF27" s="2">
        <v>0</v>
      </c>
      <c r="CG27" s="2">
        <v>0</v>
      </c>
      <c r="CH27" s="2"/>
      <c r="CI27" s="2"/>
      <c r="CJ27" s="2"/>
      <c r="CK27" s="2"/>
      <c r="CL27" s="2"/>
      <c r="CM27" s="2">
        <v>0</v>
      </c>
      <c r="CN27" s="2" t="s">
        <v>3</v>
      </c>
      <c r="CO27" s="2">
        <v>0</v>
      </c>
      <c r="CP27" s="2">
        <f t="shared" si="33"/>
        <v>21</v>
      </c>
      <c r="CQ27" s="2">
        <f t="shared" si="34"/>
        <v>40650</v>
      </c>
      <c r="CR27" s="2">
        <f t="shared" si="35"/>
        <v>0</v>
      </c>
      <c r="CS27" s="2">
        <f t="shared" si="36"/>
        <v>0</v>
      </c>
      <c r="CT27" s="2">
        <f t="shared" si="37"/>
        <v>0</v>
      </c>
      <c r="CU27" s="2">
        <f t="shared" si="38"/>
        <v>0</v>
      </c>
      <c r="CV27" s="2">
        <f t="shared" si="39"/>
        <v>0</v>
      </c>
      <c r="CW27" s="2">
        <f t="shared" si="40"/>
        <v>0</v>
      </c>
      <c r="CX27" s="2">
        <f t="shared" si="41"/>
        <v>0</v>
      </c>
      <c r="CY27" s="2">
        <f>(((S27+(R27*IF(0,0,1)))*AT27)/100)</f>
        <v>0</v>
      </c>
      <c r="CZ27" s="2">
        <f>(((S27+(R27*IF(0,0,1)))*AU27)/100)</f>
        <v>0</v>
      </c>
      <c r="DA27" s="2"/>
      <c r="DB27" s="2"/>
      <c r="DC27" s="2" t="s">
        <v>3</v>
      </c>
      <c r="DD27" s="2" t="s">
        <v>3</v>
      </c>
      <c r="DE27" s="2" t="s">
        <v>3</v>
      </c>
      <c r="DF27" s="2" t="s">
        <v>3</v>
      </c>
      <c r="DG27" s="2" t="s">
        <v>3</v>
      </c>
      <c r="DH27" s="2" t="s">
        <v>3</v>
      </c>
      <c r="DI27" s="2" t="s">
        <v>3</v>
      </c>
      <c r="DJ27" s="2" t="s">
        <v>3</v>
      </c>
      <c r="DK27" s="2" t="s">
        <v>3</v>
      </c>
      <c r="DL27" s="2" t="s">
        <v>3</v>
      </c>
      <c r="DM27" s="2" t="s">
        <v>3</v>
      </c>
      <c r="DN27" s="2">
        <v>0</v>
      </c>
      <c r="DO27" s="2">
        <v>0</v>
      </c>
      <c r="DP27" s="2">
        <v>1</v>
      </c>
      <c r="DQ27" s="2">
        <v>1</v>
      </c>
      <c r="DR27" s="2"/>
      <c r="DS27" s="2"/>
      <c r="DT27" s="2"/>
      <c r="DU27" s="2">
        <v>1009</v>
      </c>
      <c r="DV27" s="2" t="s">
        <v>33</v>
      </c>
      <c r="DW27" s="2" t="s">
        <v>33</v>
      </c>
      <c r="DX27" s="2">
        <v>1000</v>
      </c>
      <c r="DY27" s="2"/>
      <c r="DZ27" s="2" t="s">
        <v>3</v>
      </c>
      <c r="EA27" s="2" t="s">
        <v>3</v>
      </c>
      <c r="EB27" s="2" t="s">
        <v>3</v>
      </c>
      <c r="EC27" s="2" t="s">
        <v>3</v>
      </c>
      <c r="ED27" s="2"/>
      <c r="EE27" s="2">
        <v>66511700</v>
      </c>
      <c r="EF27" s="2">
        <v>20</v>
      </c>
      <c r="EG27" s="2" t="s">
        <v>35</v>
      </c>
      <c r="EH27" s="2">
        <v>0</v>
      </c>
      <c r="EI27" s="2" t="s">
        <v>3</v>
      </c>
      <c r="EJ27" s="2">
        <v>1</v>
      </c>
      <c r="EK27" s="2">
        <v>500001</v>
      </c>
      <c r="EL27" s="2" t="s">
        <v>36</v>
      </c>
      <c r="EM27" s="2" t="s">
        <v>37</v>
      </c>
      <c r="EN27" s="2"/>
      <c r="EO27" s="2" t="s">
        <v>3</v>
      </c>
      <c r="EP27" s="2"/>
      <c r="EQ27" s="2">
        <v>0</v>
      </c>
      <c r="ER27" s="2">
        <v>40650</v>
      </c>
      <c r="ES27" s="103">
        <f>'1.Лок.смета.и.Акт'!F58</f>
        <v>40650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>
        <v>0</v>
      </c>
      <c r="FR27" s="2">
        <f t="shared" si="42"/>
        <v>0</v>
      </c>
      <c r="FS27" s="2">
        <v>0</v>
      </c>
      <c r="FT27" s="2"/>
      <c r="FU27" s="2"/>
      <c r="FV27" s="2"/>
      <c r="FW27" s="2"/>
      <c r="FX27" s="2">
        <v>0</v>
      </c>
      <c r="FY27" s="2">
        <v>0</v>
      </c>
      <c r="FZ27" s="2"/>
      <c r="GA27" s="2" t="s">
        <v>3</v>
      </c>
      <c r="GB27" s="2"/>
      <c r="GC27" s="2"/>
      <c r="GD27" s="2">
        <v>1</v>
      </c>
      <c r="GE27" s="2"/>
      <c r="GF27" s="2">
        <v>1186881756</v>
      </c>
      <c r="GG27" s="2">
        <v>2</v>
      </c>
      <c r="GH27" s="2">
        <v>1</v>
      </c>
      <c r="GI27" s="2">
        <v>-2</v>
      </c>
      <c r="GJ27" s="2">
        <v>0</v>
      </c>
      <c r="GK27" s="2">
        <v>0</v>
      </c>
      <c r="GL27" s="2">
        <f t="shared" si="43"/>
        <v>0</v>
      </c>
      <c r="GM27" s="2">
        <f t="shared" si="44"/>
        <v>21</v>
      </c>
      <c r="GN27" s="2">
        <f t="shared" si="45"/>
        <v>21</v>
      </c>
      <c r="GO27" s="2">
        <f t="shared" si="46"/>
        <v>0</v>
      </c>
      <c r="GP27" s="2">
        <f t="shared" si="47"/>
        <v>0</v>
      </c>
      <c r="GQ27" s="2"/>
      <c r="GR27" s="2">
        <v>0</v>
      </c>
      <c r="GS27" s="2">
        <v>3</v>
      </c>
      <c r="GT27" s="2">
        <v>0</v>
      </c>
      <c r="GU27" s="2" t="s">
        <v>3</v>
      </c>
      <c r="GV27" s="2">
        <f t="shared" si="48"/>
        <v>0</v>
      </c>
      <c r="GW27" s="2">
        <v>1</v>
      </c>
      <c r="GX27" s="2">
        <f t="shared" si="49"/>
        <v>0</v>
      </c>
      <c r="GY27" s="2"/>
      <c r="GZ27" s="2"/>
      <c r="HA27" s="2">
        <v>0</v>
      </c>
      <c r="HB27" s="2">
        <v>0</v>
      </c>
      <c r="HC27" s="2">
        <f t="shared" si="50"/>
        <v>0</v>
      </c>
      <c r="HD27" s="2"/>
      <c r="HE27" s="2" t="s">
        <v>3</v>
      </c>
      <c r="HF27" s="2" t="s">
        <v>3</v>
      </c>
      <c r="HG27" s="2"/>
      <c r="HH27" s="2"/>
      <c r="HI27" s="2"/>
      <c r="HJ27" s="2"/>
      <c r="HK27" s="2"/>
      <c r="HL27" s="2"/>
      <c r="HM27" s="2" t="s">
        <v>3</v>
      </c>
      <c r="HN27" s="2" t="s">
        <v>3</v>
      </c>
      <c r="HO27" s="2" t="s">
        <v>3</v>
      </c>
      <c r="HP27" s="2" t="s">
        <v>3</v>
      </c>
      <c r="HQ27" s="2" t="s">
        <v>3</v>
      </c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>
        <v>-1</v>
      </c>
      <c r="IG27" s="2"/>
      <c r="IH27" s="2"/>
      <c r="II27" s="2"/>
      <c r="IJ27" s="2"/>
      <c r="IK27" s="2">
        <v>0</v>
      </c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x14ac:dyDescent="0.2">
      <c r="A28">
        <v>18</v>
      </c>
      <c r="B28">
        <v>1</v>
      </c>
      <c r="C28">
        <v>11</v>
      </c>
      <c r="E28" t="s">
        <v>30</v>
      </c>
      <c r="F28" t="e">
        <f>'ТЗ '!#REF!</f>
        <v>#REF!</v>
      </c>
      <c r="G28" t="s">
        <v>32</v>
      </c>
      <c r="H28" t="s">
        <v>33</v>
      </c>
      <c r="I28">
        <f>I26*J28</f>
        <v>5.1699999999999999E-4</v>
      </c>
      <c r="J28" s="211">
        <f>'5.Ведомость_списания'!F28</f>
        <v>8.0030959752321973E-4</v>
      </c>
      <c r="K28">
        <v>8.0000000000000004E-4</v>
      </c>
      <c r="O28">
        <f t="shared" si="14"/>
        <v>22</v>
      </c>
      <c r="P28">
        <f t="shared" si="15"/>
        <v>22</v>
      </c>
      <c r="Q28">
        <f t="shared" si="16"/>
        <v>0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4"/>
        <v>0</v>
      </c>
      <c r="AA28">
        <v>71570244</v>
      </c>
      <c r="AB28">
        <f t="shared" si="25"/>
        <v>5654.54</v>
      </c>
      <c r="AC28">
        <f>ROUND((ES28),2)</f>
        <v>5654.54</v>
      </c>
      <c r="AD28">
        <f t="shared" si="26"/>
        <v>0</v>
      </c>
      <c r="AE28">
        <f t="shared" si="27"/>
        <v>0</v>
      </c>
      <c r="AF28">
        <f t="shared" si="28"/>
        <v>0</v>
      </c>
      <c r="AG28">
        <f t="shared" si="29"/>
        <v>0</v>
      </c>
      <c r="AH28">
        <f t="shared" si="30"/>
        <v>0</v>
      </c>
      <c r="AI28">
        <f t="shared" si="31"/>
        <v>0</v>
      </c>
      <c r="AJ28">
        <f t="shared" si="32"/>
        <v>0</v>
      </c>
      <c r="AK28">
        <v>5654.5399999999991</v>
      </c>
      <c r="AL28">
        <v>5654.5399999999991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7.56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1</v>
      </c>
      <c r="BJ28" t="s">
        <v>34</v>
      </c>
      <c r="BM28">
        <v>500001</v>
      </c>
      <c r="BN28">
        <v>0</v>
      </c>
      <c r="BO28" t="s">
        <v>3</v>
      </c>
      <c r="BP28">
        <v>0</v>
      </c>
      <c r="BQ28">
        <v>20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0</v>
      </c>
      <c r="CA28">
        <v>0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3"/>
        <v>22</v>
      </c>
      <c r="CQ28">
        <f t="shared" si="34"/>
        <v>42748.322399999997</v>
      </c>
      <c r="CR28">
        <f t="shared" si="35"/>
        <v>0</v>
      </c>
      <c r="CS28">
        <f t="shared" si="36"/>
        <v>0</v>
      </c>
      <c r="CT28">
        <f t="shared" si="37"/>
        <v>0</v>
      </c>
      <c r="CU28">
        <f t="shared" si="38"/>
        <v>0</v>
      </c>
      <c r="CV28">
        <f t="shared" si="39"/>
        <v>0</v>
      </c>
      <c r="CW28">
        <f t="shared" si="40"/>
        <v>0</v>
      </c>
      <c r="CX28">
        <f t="shared" si="41"/>
        <v>0</v>
      </c>
      <c r="CY28">
        <f>(S28+R28)*(BZ28/100)</f>
        <v>0</v>
      </c>
      <c r="CZ28">
        <f>(S28+R28)*(CA28/100)</f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1009</v>
      </c>
      <c r="DV28" t="s">
        <v>33</v>
      </c>
      <c r="DW28" t="e">
        <f>'ТЗ '!#REF!</f>
        <v>#REF!</v>
      </c>
      <c r="DX28">
        <v>1000</v>
      </c>
      <c r="DZ28" t="s">
        <v>3</v>
      </c>
      <c r="EA28" t="s">
        <v>3</v>
      </c>
      <c r="EB28" t="s">
        <v>3</v>
      </c>
      <c r="EC28" t="s">
        <v>3</v>
      </c>
      <c r="EE28">
        <v>66511700</v>
      </c>
      <c r="EF28">
        <v>20</v>
      </c>
      <c r="EG28" t="s">
        <v>35</v>
      </c>
      <c r="EH28">
        <v>0</v>
      </c>
      <c r="EI28" t="s">
        <v>3</v>
      </c>
      <c r="EJ28">
        <v>1</v>
      </c>
      <c r="EK28">
        <v>500001</v>
      </c>
      <c r="EL28" t="s">
        <v>36</v>
      </c>
      <c r="EM28" t="s">
        <v>37</v>
      </c>
      <c r="EO28" t="s">
        <v>3</v>
      </c>
      <c r="EQ28">
        <v>0</v>
      </c>
      <c r="ER28">
        <v>40650</v>
      </c>
      <c r="ES28">
        <v>5654.5399999999991</v>
      </c>
      <c r="ET28">
        <v>0</v>
      </c>
      <c r="EU28">
        <v>0</v>
      </c>
      <c r="EV28">
        <v>0</v>
      </c>
      <c r="EW28">
        <v>0</v>
      </c>
      <c r="EX28">
        <v>0</v>
      </c>
      <c r="EZ28">
        <v>5</v>
      </c>
      <c r="FC28">
        <v>0</v>
      </c>
      <c r="FD28">
        <v>18</v>
      </c>
      <c r="FF28">
        <v>40650</v>
      </c>
      <c r="FQ28">
        <v>0</v>
      </c>
      <c r="FR28">
        <f t="shared" si="42"/>
        <v>0</v>
      </c>
      <c r="FS28">
        <v>0</v>
      </c>
      <c r="FX28">
        <v>0</v>
      </c>
      <c r="FY28">
        <v>0</v>
      </c>
      <c r="GA28" t="s">
        <v>38</v>
      </c>
      <c r="GD28">
        <v>1</v>
      </c>
      <c r="GF28">
        <v>1186881756</v>
      </c>
      <c r="GG28">
        <v>2</v>
      </c>
      <c r="GH28">
        <v>3</v>
      </c>
      <c r="GI28">
        <v>5</v>
      </c>
      <c r="GJ28">
        <v>0</v>
      </c>
      <c r="GK28">
        <v>0</v>
      </c>
      <c r="GL28">
        <f t="shared" si="43"/>
        <v>0</v>
      </c>
      <c r="GM28">
        <f t="shared" si="44"/>
        <v>22</v>
      </c>
      <c r="GN28">
        <f t="shared" si="45"/>
        <v>22</v>
      </c>
      <c r="GO28">
        <f t="shared" si="46"/>
        <v>0</v>
      </c>
      <c r="GP28">
        <f t="shared" si="47"/>
        <v>0</v>
      </c>
      <c r="GR28">
        <v>1</v>
      </c>
      <c r="GS28">
        <v>1</v>
      </c>
      <c r="GT28">
        <v>0</v>
      </c>
      <c r="GU28" t="s">
        <v>3</v>
      </c>
      <c r="GV28">
        <f t="shared" si="48"/>
        <v>0</v>
      </c>
      <c r="GW28">
        <v>1</v>
      </c>
      <c r="GX28">
        <f t="shared" si="49"/>
        <v>0</v>
      </c>
      <c r="HA28">
        <v>0</v>
      </c>
      <c r="HB28">
        <v>0</v>
      </c>
      <c r="HC28">
        <f t="shared" si="50"/>
        <v>0</v>
      </c>
      <c r="HE28" t="s">
        <v>39</v>
      </c>
      <c r="HF28" t="s">
        <v>40</v>
      </c>
      <c r="HM28" t="s">
        <v>3</v>
      </c>
      <c r="HN28" t="s">
        <v>3</v>
      </c>
      <c r="HO28" t="s">
        <v>3</v>
      </c>
      <c r="HP28" t="s">
        <v>3</v>
      </c>
      <c r="HQ28" t="s">
        <v>3</v>
      </c>
      <c r="IF28">
        <v>-1</v>
      </c>
      <c r="IK28">
        <v>0</v>
      </c>
    </row>
    <row r="29" spans="1:255" x14ac:dyDescent="0.2">
      <c r="A29" s="2">
        <v>18</v>
      </c>
      <c r="B29" s="2">
        <v>1</v>
      </c>
      <c r="C29" s="2">
        <v>6</v>
      </c>
      <c r="D29" s="2"/>
      <c r="E29" s="2" t="s">
        <v>41</v>
      </c>
      <c r="F29" s="2" t="s">
        <v>42</v>
      </c>
      <c r="G29" s="2" t="s">
        <v>43</v>
      </c>
      <c r="H29" s="2" t="s">
        <v>33</v>
      </c>
      <c r="I29" s="2">
        <f>I25*J29</f>
        <v>2.7131999999999996E-2</v>
      </c>
      <c r="J29" s="2">
        <v>4.1999999999999996E-2</v>
      </c>
      <c r="K29" s="2">
        <v>4.2000000000000003E-2</v>
      </c>
      <c r="L29" s="2"/>
      <c r="M29" s="2"/>
      <c r="N29" s="2"/>
      <c r="O29" s="2">
        <f t="shared" si="14"/>
        <v>677</v>
      </c>
      <c r="P29" s="2">
        <f t="shared" si="15"/>
        <v>677</v>
      </c>
      <c r="Q29" s="2">
        <f t="shared" si="16"/>
        <v>0</v>
      </c>
      <c r="R29" s="2">
        <f t="shared" si="17"/>
        <v>0</v>
      </c>
      <c r="S29" s="2">
        <f t="shared" si="18"/>
        <v>0</v>
      </c>
      <c r="T29" s="2">
        <f t="shared" si="19"/>
        <v>0</v>
      </c>
      <c r="U29" s="2">
        <f t="shared" si="20"/>
        <v>0</v>
      </c>
      <c r="V29" s="2">
        <f t="shared" si="21"/>
        <v>0</v>
      </c>
      <c r="W29" s="2">
        <f t="shared" si="22"/>
        <v>0</v>
      </c>
      <c r="X29" s="2">
        <f t="shared" si="23"/>
        <v>0</v>
      </c>
      <c r="Y29" s="2">
        <f t="shared" si="24"/>
        <v>0</v>
      </c>
      <c r="Z29" s="2"/>
      <c r="AA29" s="2">
        <v>71570243</v>
      </c>
      <c r="AB29" s="2">
        <f t="shared" si="25"/>
        <v>24950</v>
      </c>
      <c r="AC29" s="2">
        <f>ROUND((ES29),2)</f>
        <v>24950</v>
      </c>
      <c r="AD29" s="2">
        <f t="shared" si="26"/>
        <v>0</v>
      </c>
      <c r="AE29" s="2">
        <f t="shared" si="27"/>
        <v>0</v>
      </c>
      <c r="AF29" s="2">
        <f t="shared" si="28"/>
        <v>0</v>
      </c>
      <c r="AG29" s="2">
        <f t="shared" si="29"/>
        <v>0</v>
      </c>
      <c r="AH29" s="2">
        <f t="shared" si="30"/>
        <v>0</v>
      </c>
      <c r="AI29" s="2">
        <f t="shared" si="31"/>
        <v>0</v>
      </c>
      <c r="AJ29" s="2">
        <f t="shared" si="32"/>
        <v>0</v>
      </c>
      <c r="AK29" s="2">
        <v>24950</v>
      </c>
      <c r="AL29" s="103">
        <f>'1.Лок.смета.и.Акт'!F60</f>
        <v>24950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1</v>
      </c>
      <c r="AW29" s="2">
        <v>1</v>
      </c>
      <c r="AX29" s="2"/>
      <c r="AY29" s="2"/>
      <c r="AZ29" s="2">
        <v>1</v>
      </c>
      <c r="BA29" s="2">
        <v>1</v>
      </c>
      <c r="BB29" s="2">
        <v>1</v>
      </c>
      <c r="BC29" s="2">
        <v>1</v>
      </c>
      <c r="BD29" s="2" t="s">
        <v>3</v>
      </c>
      <c r="BE29" s="2" t="s">
        <v>3</v>
      </c>
      <c r="BF29" s="2" t="s">
        <v>3</v>
      </c>
      <c r="BG29" s="2" t="s">
        <v>3</v>
      </c>
      <c r="BH29" s="2">
        <v>3</v>
      </c>
      <c r="BI29" s="2">
        <v>1</v>
      </c>
      <c r="BJ29" s="2" t="s">
        <v>44</v>
      </c>
      <c r="BK29" s="2"/>
      <c r="BL29" s="2"/>
      <c r="BM29" s="2">
        <v>500001</v>
      </c>
      <c r="BN29" s="2">
        <v>0</v>
      </c>
      <c r="BO29" s="2" t="s">
        <v>3</v>
      </c>
      <c r="BP29" s="2">
        <v>0</v>
      </c>
      <c r="BQ29" s="2">
        <v>20</v>
      </c>
      <c r="BR29" s="2">
        <v>0</v>
      </c>
      <c r="BS29" s="2">
        <v>1</v>
      </c>
      <c r="BT29" s="2">
        <v>1</v>
      </c>
      <c r="BU29" s="2">
        <v>1</v>
      </c>
      <c r="BV29" s="2">
        <v>1</v>
      </c>
      <c r="BW29" s="2">
        <v>1</v>
      </c>
      <c r="BX29" s="2">
        <v>1</v>
      </c>
      <c r="BY29" s="2" t="s">
        <v>3</v>
      </c>
      <c r="BZ29" s="2">
        <v>0</v>
      </c>
      <c r="CA29" s="2">
        <v>0</v>
      </c>
      <c r="CB29" s="2" t="s">
        <v>3</v>
      </c>
      <c r="CC29" s="2"/>
      <c r="CD29" s="2"/>
      <c r="CE29" s="2">
        <v>0</v>
      </c>
      <c r="CF29" s="2">
        <v>0</v>
      </c>
      <c r="CG29" s="2">
        <v>0</v>
      </c>
      <c r="CH29" s="2"/>
      <c r="CI29" s="2"/>
      <c r="CJ29" s="2"/>
      <c r="CK29" s="2"/>
      <c r="CL29" s="2"/>
      <c r="CM29" s="2">
        <v>0</v>
      </c>
      <c r="CN29" s="2" t="s">
        <v>3</v>
      </c>
      <c r="CO29" s="2">
        <v>0</v>
      </c>
      <c r="CP29" s="2">
        <f t="shared" si="33"/>
        <v>677</v>
      </c>
      <c r="CQ29" s="2">
        <f t="shared" si="34"/>
        <v>24950</v>
      </c>
      <c r="CR29" s="2">
        <f t="shared" si="35"/>
        <v>0</v>
      </c>
      <c r="CS29" s="2">
        <f t="shared" si="36"/>
        <v>0</v>
      </c>
      <c r="CT29" s="2">
        <f t="shared" si="37"/>
        <v>0</v>
      </c>
      <c r="CU29" s="2">
        <f t="shared" si="38"/>
        <v>0</v>
      </c>
      <c r="CV29" s="2">
        <f t="shared" si="39"/>
        <v>0</v>
      </c>
      <c r="CW29" s="2">
        <f t="shared" si="40"/>
        <v>0</v>
      </c>
      <c r="CX29" s="2">
        <f t="shared" si="41"/>
        <v>0</v>
      </c>
      <c r="CY29" s="2">
        <f>(((S29+(R29*IF(0,0,1)))*AT29)/100)</f>
        <v>0</v>
      </c>
      <c r="CZ29" s="2">
        <f>(((S29+(R29*IF(0,0,1)))*AU29)/100)</f>
        <v>0</v>
      </c>
      <c r="DA29" s="2"/>
      <c r="DB29" s="2"/>
      <c r="DC29" s="2" t="s">
        <v>3</v>
      </c>
      <c r="DD29" s="2" t="s">
        <v>3</v>
      </c>
      <c r="DE29" s="2" t="s">
        <v>3</v>
      </c>
      <c r="DF29" s="2" t="s">
        <v>3</v>
      </c>
      <c r="DG29" s="2" t="s">
        <v>3</v>
      </c>
      <c r="DH29" s="2" t="s">
        <v>3</v>
      </c>
      <c r="DI29" s="2" t="s">
        <v>3</v>
      </c>
      <c r="DJ29" s="2" t="s">
        <v>3</v>
      </c>
      <c r="DK29" s="2" t="s">
        <v>3</v>
      </c>
      <c r="DL29" s="2" t="s">
        <v>3</v>
      </c>
      <c r="DM29" s="2" t="s">
        <v>3</v>
      </c>
      <c r="DN29" s="2">
        <v>0</v>
      </c>
      <c r="DO29" s="2">
        <v>0</v>
      </c>
      <c r="DP29" s="2">
        <v>1</v>
      </c>
      <c r="DQ29" s="2">
        <v>1</v>
      </c>
      <c r="DR29" s="2"/>
      <c r="DS29" s="2"/>
      <c r="DT29" s="2"/>
      <c r="DU29" s="2">
        <v>1009</v>
      </c>
      <c r="DV29" s="2" t="s">
        <v>33</v>
      </c>
      <c r="DW29" s="2" t="s">
        <v>33</v>
      </c>
      <c r="DX29" s="2">
        <v>1000</v>
      </c>
      <c r="DY29" s="2"/>
      <c r="DZ29" s="2" t="s">
        <v>3</v>
      </c>
      <c r="EA29" s="2" t="s">
        <v>3</v>
      </c>
      <c r="EB29" s="2" t="s">
        <v>3</v>
      </c>
      <c r="EC29" s="2" t="s">
        <v>3</v>
      </c>
      <c r="ED29" s="2"/>
      <c r="EE29" s="2">
        <v>66511700</v>
      </c>
      <c r="EF29" s="2">
        <v>20</v>
      </c>
      <c r="EG29" s="2" t="s">
        <v>35</v>
      </c>
      <c r="EH29" s="2">
        <v>0</v>
      </c>
      <c r="EI29" s="2" t="s">
        <v>3</v>
      </c>
      <c r="EJ29" s="2">
        <v>1</v>
      </c>
      <c r="EK29" s="2">
        <v>500001</v>
      </c>
      <c r="EL29" s="2" t="s">
        <v>36</v>
      </c>
      <c r="EM29" s="2" t="s">
        <v>37</v>
      </c>
      <c r="EN29" s="2"/>
      <c r="EO29" s="2" t="s">
        <v>3</v>
      </c>
      <c r="EP29" s="2"/>
      <c r="EQ29" s="2">
        <v>0</v>
      </c>
      <c r="ER29" s="2">
        <v>24950</v>
      </c>
      <c r="ES29" s="103">
        <f>'1.Лок.смета.и.Акт'!F60</f>
        <v>24950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>
        <v>0</v>
      </c>
      <c r="FR29" s="2">
        <f t="shared" si="42"/>
        <v>0</v>
      </c>
      <c r="FS29" s="2">
        <v>0</v>
      </c>
      <c r="FT29" s="2"/>
      <c r="FU29" s="2"/>
      <c r="FV29" s="2"/>
      <c r="FW29" s="2"/>
      <c r="FX29" s="2">
        <v>0</v>
      </c>
      <c r="FY29" s="2">
        <v>0</v>
      </c>
      <c r="FZ29" s="2"/>
      <c r="GA29" s="2" t="s">
        <v>3</v>
      </c>
      <c r="GB29" s="2"/>
      <c r="GC29" s="2"/>
      <c r="GD29" s="2">
        <v>1</v>
      </c>
      <c r="GE29" s="2"/>
      <c r="GF29" s="2">
        <v>-1313832324</v>
      </c>
      <c r="GG29" s="2">
        <v>2</v>
      </c>
      <c r="GH29" s="2">
        <v>1</v>
      </c>
      <c r="GI29" s="2">
        <v>-2</v>
      </c>
      <c r="GJ29" s="2">
        <v>0</v>
      </c>
      <c r="GK29" s="2">
        <v>0</v>
      </c>
      <c r="GL29" s="2">
        <f t="shared" si="43"/>
        <v>0</v>
      </c>
      <c r="GM29" s="2">
        <f t="shared" si="44"/>
        <v>677</v>
      </c>
      <c r="GN29" s="2">
        <f t="shared" si="45"/>
        <v>677</v>
      </c>
      <c r="GO29" s="2">
        <f t="shared" si="46"/>
        <v>0</v>
      </c>
      <c r="GP29" s="2">
        <f t="shared" si="47"/>
        <v>0</v>
      </c>
      <c r="GQ29" s="2"/>
      <c r="GR29" s="2">
        <v>0</v>
      </c>
      <c r="GS29" s="2">
        <v>3</v>
      </c>
      <c r="GT29" s="2">
        <v>0</v>
      </c>
      <c r="GU29" s="2" t="s">
        <v>3</v>
      </c>
      <c r="GV29" s="2">
        <f t="shared" si="48"/>
        <v>0</v>
      </c>
      <c r="GW29" s="2">
        <v>1</v>
      </c>
      <c r="GX29" s="2">
        <f t="shared" si="49"/>
        <v>0</v>
      </c>
      <c r="GY29" s="2"/>
      <c r="GZ29" s="2"/>
      <c r="HA29" s="2">
        <v>0</v>
      </c>
      <c r="HB29" s="2">
        <v>0</v>
      </c>
      <c r="HC29" s="2">
        <f t="shared" si="50"/>
        <v>0</v>
      </c>
      <c r="HD29" s="2"/>
      <c r="HE29" s="2" t="s">
        <v>3</v>
      </c>
      <c r="HF29" s="2" t="s">
        <v>3</v>
      </c>
      <c r="HG29" s="2"/>
      <c r="HH29" s="2"/>
      <c r="HI29" s="2"/>
      <c r="HJ29" s="2"/>
      <c r="HK29" s="2"/>
      <c r="HL29" s="2"/>
      <c r="HM29" s="2" t="s">
        <v>3</v>
      </c>
      <c r="HN29" s="2" t="s">
        <v>3</v>
      </c>
      <c r="HO29" s="2" t="s">
        <v>3</v>
      </c>
      <c r="HP29" s="2" t="s">
        <v>3</v>
      </c>
      <c r="HQ29" s="2" t="s">
        <v>3</v>
      </c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>
        <v>-1</v>
      </c>
      <c r="IG29" s="2"/>
      <c r="IH29" s="2"/>
      <c r="II29" s="2"/>
      <c r="IJ29" s="2"/>
      <c r="IK29" s="2">
        <v>0</v>
      </c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x14ac:dyDescent="0.2">
      <c r="A30">
        <v>18</v>
      </c>
      <c r="B30">
        <v>1</v>
      </c>
      <c r="C30">
        <v>12</v>
      </c>
      <c r="E30" t="s">
        <v>41</v>
      </c>
      <c r="F30" t="e">
        <f>'ТЗ '!#REF!</f>
        <v>#REF!</v>
      </c>
      <c r="G30" t="s">
        <v>43</v>
      </c>
      <c r="H30" t="s">
        <v>33</v>
      </c>
      <c r="I30">
        <f>I26*J30</f>
        <v>2.7131999999999996E-2</v>
      </c>
      <c r="J30" s="211">
        <f>'5.Ведомость_списания'!F29</f>
        <v>4.1999999999999996E-2</v>
      </c>
      <c r="K30">
        <v>4.2000000000000003E-2</v>
      </c>
      <c r="O30">
        <f t="shared" si="14"/>
        <v>4723</v>
      </c>
      <c r="P30">
        <f t="shared" si="15"/>
        <v>4723</v>
      </c>
      <c r="Q30">
        <f t="shared" si="16"/>
        <v>0</v>
      </c>
      <c r="R30">
        <f t="shared" si="17"/>
        <v>0</v>
      </c>
      <c r="S30">
        <f t="shared" si="18"/>
        <v>0</v>
      </c>
      <c r="T30">
        <f t="shared" si="19"/>
        <v>0</v>
      </c>
      <c r="U30">
        <f t="shared" si="20"/>
        <v>0</v>
      </c>
      <c r="V30">
        <f t="shared" si="21"/>
        <v>0</v>
      </c>
      <c r="W30">
        <f t="shared" si="22"/>
        <v>0</v>
      </c>
      <c r="X30">
        <f t="shared" si="23"/>
        <v>0</v>
      </c>
      <c r="Y30">
        <f t="shared" si="24"/>
        <v>0</v>
      </c>
      <c r="AA30">
        <v>71570244</v>
      </c>
      <c r="AB30">
        <f t="shared" si="25"/>
        <v>23027.14</v>
      </c>
      <c r="AC30">
        <f>ROUND((ES30),2)</f>
        <v>23027.14</v>
      </c>
      <c r="AD30">
        <f t="shared" si="26"/>
        <v>0</v>
      </c>
      <c r="AE30">
        <f t="shared" si="27"/>
        <v>0</v>
      </c>
      <c r="AF30">
        <f t="shared" si="28"/>
        <v>0</v>
      </c>
      <c r="AG30">
        <f t="shared" si="29"/>
        <v>0</v>
      </c>
      <c r="AH30">
        <f t="shared" si="30"/>
        <v>0</v>
      </c>
      <c r="AI30">
        <f t="shared" si="31"/>
        <v>0</v>
      </c>
      <c r="AJ30">
        <f t="shared" si="32"/>
        <v>0</v>
      </c>
      <c r="AK30">
        <v>23027.14</v>
      </c>
      <c r="AL30">
        <v>23027.14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7.56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1</v>
      </c>
      <c r="BJ30" t="s">
        <v>44</v>
      </c>
      <c r="BM30">
        <v>500001</v>
      </c>
      <c r="BN30">
        <v>0</v>
      </c>
      <c r="BO30" t="s">
        <v>3</v>
      </c>
      <c r="BP30">
        <v>0</v>
      </c>
      <c r="BQ30">
        <v>20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0</v>
      </c>
      <c r="CA30">
        <v>0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3"/>
        <v>4723</v>
      </c>
      <c r="CQ30">
        <f t="shared" si="34"/>
        <v>174085.17839999998</v>
      </c>
      <c r="CR30">
        <f t="shared" si="35"/>
        <v>0</v>
      </c>
      <c r="CS30">
        <f t="shared" si="36"/>
        <v>0</v>
      </c>
      <c r="CT30">
        <f t="shared" si="37"/>
        <v>0</v>
      </c>
      <c r="CU30">
        <f t="shared" si="38"/>
        <v>0</v>
      </c>
      <c r="CV30">
        <f t="shared" si="39"/>
        <v>0</v>
      </c>
      <c r="CW30">
        <f t="shared" si="40"/>
        <v>0</v>
      </c>
      <c r="CX30">
        <f t="shared" si="41"/>
        <v>0</v>
      </c>
      <c r="CY30">
        <f>(S30+R30)*(BZ30/100)</f>
        <v>0</v>
      </c>
      <c r="CZ30">
        <f>(S30+R30)*(CA30/100)</f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1009</v>
      </c>
      <c r="DV30" t="s">
        <v>33</v>
      </c>
      <c r="DW30" t="e">
        <f>'ТЗ '!#REF!</f>
        <v>#REF!</v>
      </c>
      <c r="DX30">
        <v>1000</v>
      </c>
      <c r="DZ30" t="s">
        <v>3</v>
      </c>
      <c r="EA30" t="s">
        <v>3</v>
      </c>
      <c r="EB30" t="s">
        <v>3</v>
      </c>
      <c r="EC30" t="s">
        <v>3</v>
      </c>
      <c r="EE30">
        <v>66511700</v>
      </c>
      <c r="EF30">
        <v>20</v>
      </c>
      <c r="EG30" t="s">
        <v>35</v>
      </c>
      <c r="EH30">
        <v>0</v>
      </c>
      <c r="EI30" t="s">
        <v>3</v>
      </c>
      <c r="EJ30">
        <v>1</v>
      </c>
      <c r="EK30">
        <v>500001</v>
      </c>
      <c r="EL30" t="s">
        <v>36</v>
      </c>
      <c r="EM30" t="s">
        <v>37</v>
      </c>
      <c r="EO30" t="s">
        <v>3</v>
      </c>
      <c r="EQ30">
        <v>0</v>
      </c>
      <c r="ER30">
        <v>165540</v>
      </c>
      <c r="ES30">
        <v>23027.14</v>
      </c>
      <c r="ET30">
        <v>0</v>
      </c>
      <c r="EU30">
        <v>0</v>
      </c>
      <c r="EV30">
        <v>0</v>
      </c>
      <c r="EW30">
        <v>0</v>
      </c>
      <c r="EX30">
        <v>0</v>
      </c>
      <c r="EZ30">
        <v>5</v>
      </c>
      <c r="FC30">
        <v>0</v>
      </c>
      <c r="FD30">
        <v>18</v>
      </c>
      <c r="FF30">
        <v>165540</v>
      </c>
      <c r="FQ30">
        <v>0</v>
      </c>
      <c r="FR30">
        <f t="shared" si="42"/>
        <v>0</v>
      </c>
      <c r="FS30">
        <v>0</v>
      </c>
      <c r="FX30">
        <v>0</v>
      </c>
      <c r="FY30">
        <v>0</v>
      </c>
      <c r="GA30" t="s">
        <v>45</v>
      </c>
      <c r="GD30">
        <v>1</v>
      </c>
      <c r="GF30">
        <v>-1313832324</v>
      </c>
      <c r="GG30">
        <v>2</v>
      </c>
      <c r="GH30">
        <v>3</v>
      </c>
      <c r="GI30">
        <v>5</v>
      </c>
      <c r="GJ30">
        <v>0</v>
      </c>
      <c r="GK30">
        <v>0</v>
      </c>
      <c r="GL30">
        <f t="shared" si="43"/>
        <v>0</v>
      </c>
      <c r="GM30">
        <f t="shared" si="44"/>
        <v>4723</v>
      </c>
      <c r="GN30">
        <f t="shared" si="45"/>
        <v>4723</v>
      </c>
      <c r="GO30">
        <f t="shared" si="46"/>
        <v>0</v>
      </c>
      <c r="GP30">
        <f t="shared" si="47"/>
        <v>0</v>
      </c>
      <c r="GR30">
        <v>1</v>
      </c>
      <c r="GS30">
        <v>1</v>
      </c>
      <c r="GT30">
        <v>0</v>
      </c>
      <c r="GU30" t="s">
        <v>3</v>
      </c>
      <c r="GV30">
        <f t="shared" si="48"/>
        <v>0</v>
      </c>
      <c r="GW30">
        <v>1</v>
      </c>
      <c r="GX30">
        <f t="shared" si="49"/>
        <v>0</v>
      </c>
      <c r="HA30">
        <v>0</v>
      </c>
      <c r="HB30">
        <v>0</v>
      </c>
      <c r="HC30">
        <f t="shared" si="50"/>
        <v>0</v>
      </c>
      <c r="HE30" t="s">
        <v>39</v>
      </c>
      <c r="HF30" t="s">
        <v>40</v>
      </c>
      <c r="HM30" t="s">
        <v>3</v>
      </c>
      <c r="HN30" t="s">
        <v>3</v>
      </c>
      <c r="HO30" t="s">
        <v>3</v>
      </c>
      <c r="HP30" t="s">
        <v>3</v>
      </c>
      <c r="HQ30" t="s">
        <v>3</v>
      </c>
      <c r="IF30">
        <v>-1</v>
      </c>
      <c r="IK30">
        <v>0</v>
      </c>
    </row>
    <row r="31" spans="1:255" x14ac:dyDescent="0.2">
      <c r="A31" s="2">
        <v>17</v>
      </c>
      <c r="B31" s="2">
        <v>1</v>
      </c>
      <c r="C31" s="2">
        <f>ROW(SmtRes!A18)</f>
        <v>18</v>
      </c>
      <c r="D31" s="2">
        <f>ROW(EtalonRes!A18)</f>
        <v>18</v>
      </c>
      <c r="E31" s="2" t="s">
        <v>40</v>
      </c>
      <c r="F31" s="2" t="s">
        <v>46</v>
      </c>
      <c r="G31" s="2" t="s">
        <v>47</v>
      </c>
      <c r="H31" s="2" t="s">
        <v>25</v>
      </c>
      <c r="I31" s="2">
        <f>'ТЗ '!E20</f>
        <v>3.7499999999999999E-2</v>
      </c>
      <c r="J31" s="2">
        <v>0</v>
      </c>
      <c r="K31" s="2">
        <f>ROUND(37.5/1/1000,9)</f>
        <v>3.7499999999999999E-2</v>
      </c>
      <c r="L31" s="2"/>
      <c r="M31" s="2"/>
      <c r="N31" s="2"/>
      <c r="O31" s="2">
        <f t="shared" si="14"/>
        <v>7</v>
      </c>
      <c r="P31" s="2">
        <f t="shared" si="15"/>
        <v>0</v>
      </c>
      <c r="Q31" s="2">
        <f t="shared" si="16"/>
        <v>6</v>
      </c>
      <c r="R31" s="2">
        <f t="shared" si="17"/>
        <v>1</v>
      </c>
      <c r="S31" s="2">
        <f t="shared" si="18"/>
        <v>1</v>
      </c>
      <c r="T31" s="2">
        <f t="shared" si="19"/>
        <v>0</v>
      </c>
      <c r="U31" s="2">
        <f t="shared" si="20"/>
        <v>0.13725000000000001</v>
      </c>
      <c r="V31" s="2">
        <f t="shared" si="21"/>
        <v>7.6499999999999999E-2</v>
      </c>
      <c r="W31" s="2">
        <f t="shared" si="22"/>
        <v>0</v>
      </c>
      <c r="X31" s="2">
        <f t="shared" si="23"/>
        <v>3</v>
      </c>
      <c r="Y31" s="2">
        <f t="shared" si="24"/>
        <v>2</v>
      </c>
      <c r="Z31" s="2"/>
      <c r="AA31" s="2">
        <v>71570243</v>
      </c>
      <c r="AB31" s="2">
        <f t="shared" si="25"/>
        <v>196.08</v>
      </c>
      <c r="AC31" s="2">
        <f>ROUND((ES31+(SUM(SmtRes!BC13:'SmtRes'!BC18)+SUM(EtalonRes!AL13:'EtalonRes'!AL18))),2)</f>
        <v>0</v>
      </c>
      <c r="AD31" s="2">
        <f t="shared" si="26"/>
        <v>167.75</v>
      </c>
      <c r="AE31" s="2">
        <f t="shared" si="27"/>
        <v>25.79</v>
      </c>
      <c r="AF31" s="2">
        <f t="shared" si="28"/>
        <v>28.33</v>
      </c>
      <c r="AG31" s="2">
        <f t="shared" si="29"/>
        <v>0</v>
      </c>
      <c r="AH31" s="2">
        <f t="shared" si="30"/>
        <v>3.66</v>
      </c>
      <c r="AI31" s="2">
        <f t="shared" si="31"/>
        <v>2.04</v>
      </c>
      <c r="AJ31" s="2">
        <f t="shared" si="32"/>
        <v>0</v>
      </c>
      <c r="AK31" s="2">
        <v>4420.2</v>
      </c>
      <c r="AL31" s="2">
        <v>4224.12</v>
      </c>
      <c r="AM31" s="2">
        <v>167.75</v>
      </c>
      <c r="AN31" s="2">
        <v>25.79</v>
      </c>
      <c r="AO31" s="2">
        <v>28.33</v>
      </c>
      <c r="AP31" s="2">
        <v>0</v>
      </c>
      <c r="AQ31" s="2">
        <v>3.66</v>
      </c>
      <c r="AR31" s="2">
        <v>2.04</v>
      </c>
      <c r="AS31" s="2">
        <v>0</v>
      </c>
      <c r="AT31" s="2">
        <v>142</v>
      </c>
      <c r="AU31" s="2">
        <v>95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</v>
      </c>
      <c r="BD31" s="2" t="s">
        <v>3</v>
      </c>
      <c r="BE31" s="2" t="s">
        <v>3</v>
      </c>
      <c r="BF31" s="2" t="s">
        <v>3</v>
      </c>
      <c r="BG31" s="2" t="s">
        <v>3</v>
      </c>
      <c r="BH31" s="2">
        <v>0</v>
      </c>
      <c r="BI31" s="2">
        <v>1</v>
      </c>
      <c r="BJ31" s="2" t="s">
        <v>48</v>
      </c>
      <c r="BK31" s="2"/>
      <c r="BL31" s="2"/>
      <c r="BM31" s="2">
        <v>27001</v>
      </c>
      <c r="BN31" s="2">
        <v>0</v>
      </c>
      <c r="BO31" s="2" t="s">
        <v>3</v>
      </c>
      <c r="BP31" s="2">
        <v>0</v>
      </c>
      <c r="BQ31" s="2">
        <v>1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3</v>
      </c>
      <c r="BZ31" s="2">
        <v>142</v>
      </c>
      <c r="CA31" s="2">
        <v>95</v>
      </c>
      <c r="CB31" s="2" t="s">
        <v>3</v>
      </c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2" t="s">
        <v>3</v>
      </c>
      <c r="CO31" s="2">
        <v>0</v>
      </c>
      <c r="CP31" s="2">
        <f t="shared" si="33"/>
        <v>7</v>
      </c>
      <c r="CQ31" s="2">
        <f t="shared" si="34"/>
        <v>0</v>
      </c>
      <c r="CR31" s="2">
        <f t="shared" si="35"/>
        <v>167.75</v>
      </c>
      <c r="CS31" s="2">
        <f t="shared" si="36"/>
        <v>25.79</v>
      </c>
      <c r="CT31" s="2">
        <f t="shared" si="37"/>
        <v>28.33</v>
      </c>
      <c r="CU31" s="2">
        <f t="shared" si="38"/>
        <v>0</v>
      </c>
      <c r="CV31" s="2">
        <f t="shared" si="39"/>
        <v>3.66</v>
      </c>
      <c r="CW31" s="2">
        <f t="shared" si="40"/>
        <v>2.04</v>
      </c>
      <c r="CX31" s="2">
        <f t="shared" si="41"/>
        <v>0</v>
      </c>
      <c r="CY31" s="2">
        <f>(((S31+(R31*IF(0,0,1)))*AT31)/100)</f>
        <v>2.84</v>
      </c>
      <c r="CZ31" s="2">
        <f>(((S31+(R31*IF(0,0,1)))*AU31)/100)</f>
        <v>1.9</v>
      </c>
      <c r="DA31" s="2"/>
      <c r="DB31" s="2"/>
      <c r="DC31" s="2" t="s">
        <v>3</v>
      </c>
      <c r="DD31" s="2" t="s">
        <v>3</v>
      </c>
      <c r="DE31" s="2" t="s">
        <v>3</v>
      </c>
      <c r="DF31" s="2" t="s">
        <v>3</v>
      </c>
      <c r="DG31" s="2" t="s">
        <v>3</v>
      </c>
      <c r="DH31" s="2" t="s">
        <v>3</v>
      </c>
      <c r="DI31" s="2" t="s">
        <v>3</v>
      </c>
      <c r="DJ31" s="2" t="s">
        <v>3</v>
      </c>
      <c r="DK31" s="2" t="s">
        <v>3</v>
      </c>
      <c r="DL31" s="2" t="s">
        <v>3</v>
      </c>
      <c r="DM31" s="2" t="s">
        <v>3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1013</v>
      </c>
      <c r="DV31" s="2" t="s">
        <v>25</v>
      </c>
      <c r="DW31" s="2" t="s">
        <v>25</v>
      </c>
      <c r="DX31" s="2">
        <v>1</v>
      </c>
      <c r="DY31" s="2"/>
      <c r="DZ31" s="2" t="s">
        <v>3</v>
      </c>
      <c r="EA31" s="2" t="s">
        <v>3</v>
      </c>
      <c r="EB31" s="2" t="s">
        <v>3</v>
      </c>
      <c r="EC31" s="2" t="s">
        <v>3</v>
      </c>
      <c r="ED31" s="2"/>
      <c r="EE31" s="2">
        <v>66511559</v>
      </c>
      <c r="EF31" s="2">
        <v>1</v>
      </c>
      <c r="EG31" s="2" t="s">
        <v>27</v>
      </c>
      <c r="EH31" s="2">
        <v>0</v>
      </c>
      <c r="EI31" s="2" t="s">
        <v>3</v>
      </c>
      <c r="EJ31" s="2">
        <v>1</v>
      </c>
      <c r="EK31" s="2">
        <v>27001</v>
      </c>
      <c r="EL31" s="2" t="s">
        <v>28</v>
      </c>
      <c r="EM31" s="2" t="s">
        <v>29</v>
      </c>
      <c r="EN31" s="2"/>
      <c r="EO31" s="2" t="s">
        <v>3</v>
      </c>
      <c r="EP31" s="2"/>
      <c r="EQ31" s="2">
        <v>0</v>
      </c>
      <c r="ER31" s="2">
        <v>4420.2</v>
      </c>
      <c r="ES31" s="2">
        <v>4224.12</v>
      </c>
      <c r="ET31" s="2">
        <v>167.75</v>
      </c>
      <c r="EU31" s="2">
        <v>25.79</v>
      </c>
      <c r="EV31" s="2">
        <v>28.33</v>
      </c>
      <c r="EW31" s="2">
        <v>3.66</v>
      </c>
      <c r="EX31" s="2">
        <v>2.04</v>
      </c>
      <c r="EY31" s="2">
        <v>1</v>
      </c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f t="shared" si="42"/>
        <v>0</v>
      </c>
      <c r="FS31" s="2">
        <v>0</v>
      </c>
      <c r="FT31" s="2"/>
      <c r="FU31" s="2"/>
      <c r="FV31" s="2"/>
      <c r="FW31" s="2"/>
      <c r="FX31" s="2">
        <v>142</v>
      </c>
      <c r="FY31" s="2">
        <v>95</v>
      </c>
      <c r="FZ31" s="2"/>
      <c r="GA31" s="2" t="s">
        <v>3</v>
      </c>
      <c r="GB31" s="2"/>
      <c r="GC31" s="2"/>
      <c r="GD31" s="2">
        <v>1</v>
      </c>
      <c r="GE31" s="2"/>
      <c r="GF31" s="2">
        <v>749741717</v>
      </c>
      <c r="GG31" s="2">
        <v>2</v>
      </c>
      <c r="GH31" s="2">
        <v>1</v>
      </c>
      <c r="GI31" s="2">
        <v>-2</v>
      </c>
      <c r="GJ31" s="2">
        <v>0</v>
      </c>
      <c r="GK31" s="2">
        <v>0</v>
      </c>
      <c r="GL31" s="2">
        <f t="shared" si="43"/>
        <v>0</v>
      </c>
      <c r="GM31" s="2">
        <f t="shared" si="44"/>
        <v>12</v>
      </c>
      <c r="GN31" s="2">
        <f t="shared" si="45"/>
        <v>12</v>
      </c>
      <c r="GO31" s="2">
        <f t="shared" si="46"/>
        <v>0</v>
      </c>
      <c r="GP31" s="2">
        <f t="shared" si="47"/>
        <v>0</v>
      </c>
      <c r="GQ31" s="2"/>
      <c r="GR31" s="2">
        <v>0</v>
      </c>
      <c r="GS31" s="2">
        <v>3</v>
      </c>
      <c r="GT31" s="2">
        <v>0</v>
      </c>
      <c r="GU31" s="2" t="s">
        <v>3</v>
      </c>
      <c r="GV31" s="2">
        <f t="shared" si="48"/>
        <v>0</v>
      </c>
      <c r="GW31" s="2">
        <v>1</v>
      </c>
      <c r="GX31" s="2">
        <f t="shared" si="49"/>
        <v>0</v>
      </c>
      <c r="GY31" s="2"/>
      <c r="GZ31" s="2"/>
      <c r="HA31" s="2">
        <v>0</v>
      </c>
      <c r="HB31" s="2">
        <v>0</v>
      </c>
      <c r="HC31" s="2">
        <f t="shared" si="50"/>
        <v>0</v>
      </c>
      <c r="HD31" s="2"/>
      <c r="HE31" s="2" t="s">
        <v>3</v>
      </c>
      <c r="HF31" s="2" t="s">
        <v>3</v>
      </c>
      <c r="HG31" s="2"/>
      <c r="HH31" s="2"/>
      <c r="HI31" s="2"/>
      <c r="HJ31" s="2"/>
      <c r="HK31" s="2"/>
      <c r="HL31" s="2"/>
      <c r="HM31" s="2" t="s">
        <v>3</v>
      </c>
      <c r="HN31" s="2" t="s">
        <v>3</v>
      </c>
      <c r="HO31" s="2" t="s">
        <v>3</v>
      </c>
      <c r="HP31" s="2" t="s">
        <v>3</v>
      </c>
      <c r="HQ31" s="2" t="s">
        <v>3</v>
      </c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>
        <v>-1</v>
      </c>
      <c r="IG31" s="2"/>
      <c r="IH31" s="2"/>
      <c r="II31" s="2"/>
      <c r="IJ31" s="2"/>
      <c r="IK31" s="2">
        <v>0</v>
      </c>
      <c r="IL31" s="2" t="s">
        <v>297</v>
      </c>
      <c r="IM31" s="2">
        <v>3.7499999999999999E-2</v>
      </c>
      <c r="IN31" s="2"/>
      <c r="IO31" s="2"/>
      <c r="IP31" s="2"/>
      <c r="IQ31" s="2"/>
      <c r="IR31" s="2"/>
      <c r="IS31" s="2"/>
      <c r="IT31" s="2"/>
      <c r="IU31" s="2"/>
    </row>
    <row r="32" spans="1:255" x14ac:dyDescent="0.2">
      <c r="A32">
        <v>17</v>
      </c>
      <c r="B32">
        <v>1</v>
      </c>
      <c r="C32">
        <f>ROW(SmtRes!A24)</f>
        <v>24</v>
      </c>
      <c r="D32">
        <f>ROW(EtalonRes!A24)</f>
        <v>24</v>
      </c>
      <c r="E32" t="s">
        <v>40</v>
      </c>
      <c r="F32" t="s">
        <v>46</v>
      </c>
      <c r="G32" t="s">
        <v>47</v>
      </c>
      <c r="H32" t="s">
        <v>25</v>
      </c>
      <c r="I32">
        <f>'ТЗ '!E20</f>
        <v>3.7499999999999999E-2</v>
      </c>
      <c r="J32">
        <v>0</v>
      </c>
      <c r="K32">
        <f>ROUND(37.5/1/1000,9)</f>
        <v>3.7499999999999999E-2</v>
      </c>
      <c r="O32">
        <f t="shared" si="14"/>
        <v>99</v>
      </c>
      <c r="P32">
        <f t="shared" si="15"/>
        <v>0</v>
      </c>
      <c r="Q32">
        <f t="shared" si="16"/>
        <v>59</v>
      </c>
      <c r="R32">
        <f t="shared" si="17"/>
        <v>19</v>
      </c>
      <c r="S32">
        <f t="shared" si="18"/>
        <v>40</v>
      </c>
      <c r="T32">
        <f t="shared" si="19"/>
        <v>0</v>
      </c>
      <c r="U32" t="e">
        <f t="shared" si="20"/>
        <v>#REF!</v>
      </c>
      <c r="V32">
        <f t="shared" si="21"/>
        <v>7.6499999999999999E-2</v>
      </c>
      <c r="W32">
        <f t="shared" si="22"/>
        <v>0</v>
      </c>
      <c r="X32" t="e">
        <f t="shared" si="23"/>
        <v>#REF!</v>
      </c>
      <c r="Y32" t="e">
        <f t="shared" si="24"/>
        <v>#REF!</v>
      </c>
      <c r="AA32">
        <v>71570244</v>
      </c>
      <c r="AB32">
        <f t="shared" si="25"/>
        <v>196.08</v>
      </c>
      <c r="AC32">
        <f>ROUND((ES32+(SUM(SmtRes!BC19:'SmtRes'!BC24)+SUM(EtalonRes!AL19:'EtalonRes'!AL24))),2)</f>
        <v>0</v>
      </c>
      <c r="AD32">
        <f t="shared" si="26"/>
        <v>167.75</v>
      </c>
      <c r="AE32">
        <f t="shared" si="27"/>
        <v>25.79</v>
      </c>
      <c r="AF32">
        <f t="shared" si="28"/>
        <v>28.33</v>
      </c>
      <c r="AG32">
        <f t="shared" si="29"/>
        <v>0</v>
      </c>
      <c r="AH32" t="e">
        <f t="shared" si="30"/>
        <v>#REF!</v>
      </c>
      <c r="AI32">
        <f t="shared" si="31"/>
        <v>2.04</v>
      </c>
      <c r="AJ32">
        <f t="shared" si="32"/>
        <v>0</v>
      </c>
      <c r="AK32">
        <f>AL32+AM32+AO32</f>
        <v>4420.2</v>
      </c>
      <c r="AL32">
        <v>4224.12</v>
      </c>
      <c r="AM32" s="79">
        <f>'1.Лок.смета.и.Акт'!F68</f>
        <v>167.75</v>
      </c>
      <c r="AN32" s="79">
        <f>'1.Лок.смета.и.Акт'!F69</f>
        <v>25.79</v>
      </c>
      <c r="AO32" s="79">
        <f>'1.Лок.смета.и.Акт'!F67</f>
        <v>28.33</v>
      </c>
      <c r="AP32">
        <v>0</v>
      </c>
      <c r="AQ32" t="e">
        <f>'ТЗ '!#REF!</f>
        <v>#REF!</v>
      </c>
      <c r="AR32">
        <v>2.04</v>
      </c>
      <c r="AS32">
        <v>0</v>
      </c>
      <c r="AT32">
        <v>135</v>
      </c>
      <c r="AU32">
        <v>81</v>
      </c>
      <c r="AV32">
        <v>1</v>
      </c>
      <c r="AW32">
        <v>1</v>
      </c>
      <c r="AZ32">
        <v>1</v>
      </c>
      <c r="BA32">
        <f>'1.Лок.смета.и.Акт'!J67</f>
        <v>38</v>
      </c>
      <c r="BB32">
        <f>'1.Лок.смета.и.Акт'!J68</f>
        <v>9.3000000000000007</v>
      </c>
      <c r="BC32">
        <v>7.56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48</v>
      </c>
      <c r="BM32">
        <v>27001</v>
      </c>
      <c r="BN32">
        <v>0</v>
      </c>
      <c r="BO32" t="s">
        <v>46</v>
      </c>
      <c r="BP32">
        <v>1</v>
      </c>
      <c r="BQ32">
        <v>1</v>
      </c>
      <c r="BR32">
        <v>0</v>
      </c>
      <c r="BS32">
        <f>'1.Лок.смета.и.Акт'!J69</f>
        <v>19.8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 t="e">
        <f>'ТЗ '!#REF!</f>
        <v>#REF!</v>
      </c>
      <c r="CA32" t="e">
        <f>'ТЗ '!#REF!</f>
        <v>#REF!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3"/>
        <v>99</v>
      </c>
      <c r="CQ32">
        <f t="shared" si="34"/>
        <v>0</v>
      </c>
      <c r="CR32">
        <f t="shared" si="35"/>
        <v>1560.075</v>
      </c>
      <c r="CS32">
        <f t="shared" si="36"/>
        <v>510.642</v>
      </c>
      <c r="CT32">
        <f t="shared" si="37"/>
        <v>1076.54</v>
      </c>
      <c r="CU32">
        <f t="shared" si="38"/>
        <v>0</v>
      </c>
      <c r="CV32" t="e">
        <f t="shared" si="39"/>
        <v>#REF!</v>
      </c>
      <c r="CW32">
        <f t="shared" si="40"/>
        <v>2.04</v>
      </c>
      <c r="CX32">
        <f t="shared" si="41"/>
        <v>0</v>
      </c>
      <c r="CY32" t="e">
        <f>(S32+R32)*(BZ32/100)</f>
        <v>#REF!</v>
      </c>
      <c r="CZ32" t="e">
        <f>(S32+R32)*(CA32/100)</f>
        <v>#REF!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f>'1.Лок.смета.и.Акт'!E70</f>
        <v>142</v>
      </c>
      <c r="DO32">
        <f>'1.Лок.смета.и.Акт'!E71</f>
        <v>95</v>
      </c>
      <c r="DP32">
        <v>1</v>
      </c>
      <c r="DQ32">
        <v>1</v>
      </c>
      <c r="DU32">
        <v>1013</v>
      </c>
      <c r="DV32" t="s">
        <v>25</v>
      </c>
      <c r="DW32" t="str">
        <f>'ТЗ '!D20</f>
        <v>1 км линии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66511559</v>
      </c>
      <c r="EF32">
        <v>1</v>
      </c>
      <c r="EG32" t="s">
        <v>27</v>
      </c>
      <c r="EH32">
        <v>0</v>
      </c>
      <c r="EI32" t="s">
        <v>3</v>
      </c>
      <c r="EJ32">
        <v>1</v>
      </c>
      <c r="EK32">
        <v>27001</v>
      </c>
      <c r="EL32" t="s">
        <v>28</v>
      </c>
      <c r="EM32" t="s">
        <v>29</v>
      </c>
      <c r="EO32" t="s">
        <v>3</v>
      </c>
      <c r="EQ32">
        <v>0</v>
      </c>
      <c r="ER32">
        <f>ES32+ET32+EV32</f>
        <v>4420.2</v>
      </c>
      <c r="ES32">
        <v>4224.12</v>
      </c>
      <c r="ET32" s="79">
        <f>'1.Лок.смета.и.Акт'!F68</f>
        <v>167.75</v>
      </c>
      <c r="EU32" s="79">
        <f>'1.Лок.смета.и.Акт'!F69</f>
        <v>25.79</v>
      </c>
      <c r="EV32" s="79">
        <f>'1.Лок.смета.и.Акт'!F67</f>
        <v>28.33</v>
      </c>
      <c r="EW32" t="e">
        <f>'ТЗ '!#REF!</f>
        <v>#REF!</v>
      </c>
      <c r="EX32">
        <v>2.04</v>
      </c>
      <c r="EY32">
        <v>1</v>
      </c>
      <c r="FQ32">
        <v>0</v>
      </c>
      <c r="FR32">
        <f t="shared" si="42"/>
        <v>0</v>
      </c>
      <c r="FS32">
        <v>0</v>
      </c>
      <c r="FX32">
        <v>142</v>
      </c>
      <c r="FY32">
        <v>95</v>
      </c>
      <c r="GA32" t="s">
        <v>3</v>
      </c>
      <c r="GD32">
        <v>1</v>
      </c>
      <c r="GF32">
        <v>749741717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3"/>
        <v>0</v>
      </c>
      <c r="GM32" t="e">
        <f t="shared" si="44"/>
        <v>#REF!</v>
      </c>
      <c r="GN32" t="e">
        <f t="shared" si="45"/>
        <v>#REF!</v>
      </c>
      <c r="GO32">
        <f t="shared" si="46"/>
        <v>0</v>
      </c>
      <c r="GP32">
        <f t="shared" si="47"/>
        <v>0</v>
      </c>
      <c r="GR32">
        <v>0</v>
      </c>
      <c r="GS32">
        <v>0</v>
      </c>
      <c r="GT32">
        <v>0</v>
      </c>
      <c r="GU32" t="s">
        <v>3</v>
      </c>
      <c r="GV32">
        <f t="shared" si="48"/>
        <v>0</v>
      </c>
      <c r="GW32">
        <v>1010.5</v>
      </c>
      <c r="GX32">
        <f t="shared" si="49"/>
        <v>0</v>
      </c>
      <c r="HA32">
        <v>0</v>
      </c>
      <c r="HB32">
        <v>0</v>
      </c>
      <c r="HC32">
        <f t="shared" si="50"/>
        <v>0</v>
      </c>
      <c r="HE32" t="s">
        <v>3</v>
      </c>
      <c r="HF32" t="s">
        <v>3</v>
      </c>
      <c r="HM32" t="s">
        <v>3</v>
      </c>
      <c r="HN32" t="s">
        <v>3</v>
      </c>
      <c r="HO32" t="s">
        <v>3</v>
      </c>
      <c r="HP32" t="s">
        <v>3</v>
      </c>
      <c r="HQ32" t="s">
        <v>3</v>
      </c>
      <c r="IF32">
        <v>-1</v>
      </c>
      <c r="IK32">
        <v>0</v>
      </c>
      <c r="IL32" t="s">
        <v>297</v>
      </c>
      <c r="IM32">
        <v>3.7499999999999999E-2</v>
      </c>
    </row>
    <row r="33" spans="1:255" x14ac:dyDescent="0.2">
      <c r="A33" s="2">
        <v>18</v>
      </c>
      <c r="B33" s="2">
        <v>1</v>
      </c>
      <c r="C33" s="2">
        <v>17</v>
      </c>
      <c r="D33" s="2"/>
      <c r="E33" s="2" t="s">
        <v>49</v>
      </c>
      <c r="F33" s="2" t="s">
        <v>31</v>
      </c>
      <c r="G33" s="2" t="s">
        <v>32</v>
      </c>
      <c r="H33" s="2" t="s">
        <v>33</v>
      </c>
      <c r="I33" s="2">
        <f>I31*J33</f>
        <v>3.0000000000000001E-5</v>
      </c>
      <c r="J33" s="2">
        <v>8.0000000000000004E-4</v>
      </c>
      <c r="K33" s="2">
        <v>8.0000000000000004E-4</v>
      </c>
      <c r="L33" s="2"/>
      <c r="M33" s="2"/>
      <c r="N33" s="2"/>
      <c r="O33" s="2">
        <f t="shared" si="14"/>
        <v>1</v>
      </c>
      <c r="P33" s="2">
        <f t="shared" si="15"/>
        <v>1</v>
      </c>
      <c r="Q33" s="2">
        <f t="shared" si="16"/>
        <v>0</v>
      </c>
      <c r="R33" s="2">
        <f t="shared" si="17"/>
        <v>0</v>
      </c>
      <c r="S33" s="2">
        <f t="shared" si="18"/>
        <v>0</v>
      </c>
      <c r="T33" s="2">
        <f t="shared" si="19"/>
        <v>0</v>
      </c>
      <c r="U33" s="2">
        <f t="shared" si="20"/>
        <v>0</v>
      </c>
      <c r="V33" s="2">
        <f t="shared" si="21"/>
        <v>0</v>
      </c>
      <c r="W33" s="2">
        <f t="shared" si="22"/>
        <v>0</v>
      </c>
      <c r="X33" s="2">
        <f t="shared" si="23"/>
        <v>0</v>
      </c>
      <c r="Y33" s="2">
        <f t="shared" si="24"/>
        <v>0</v>
      </c>
      <c r="Z33" s="2"/>
      <c r="AA33" s="2">
        <v>71570243</v>
      </c>
      <c r="AB33" s="2">
        <f t="shared" si="25"/>
        <v>40650</v>
      </c>
      <c r="AC33" s="2">
        <f>ROUND((ES33),2)</f>
        <v>40650</v>
      </c>
      <c r="AD33" s="2">
        <f t="shared" si="26"/>
        <v>0</v>
      </c>
      <c r="AE33" s="2">
        <f t="shared" si="27"/>
        <v>0</v>
      </c>
      <c r="AF33" s="2">
        <f t="shared" si="28"/>
        <v>0</v>
      </c>
      <c r="AG33" s="2">
        <f t="shared" si="29"/>
        <v>0</v>
      </c>
      <c r="AH33" s="2">
        <f t="shared" si="30"/>
        <v>0</v>
      </c>
      <c r="AI33" s="2">
        <f t="shared" si="31"/>
        <v>0</v>
      </c>
      <c r="AJ33" s="2">
        <f t="shared" si="32"/>
        <v>0</v>
      </c>
      <c r="AK33" s="2">
        <v>40650</v>
      </c>
      <c r="AL33" s="103">
        <f>'1.Лок.смета.и.Акт'!F73</f>
        <v>40650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1</v>
      </c>
      <c r="AW33" s="2">
        <v>1</v>
      </c>
      <c r="AX33" s="2"/>
      <c r="AY33" s="2"/>
      <c r="AZ33" s="2">
        <v>1</v>
      </c>
      <c r="BA33" s="2">
        <v>1</v>
      </c>
      <c r="BB33" s="2">
        <v>1</v>
      </c>
      <c r="BC33" s="2">
        <v>1</v>
      </c>
      <c r="BD33" s="2" t="s">
        <v>3</v>
      </c>
      <c r="BE33" s="2" t="s">
        <v>3</v>
      </c>
      <c r="BF33" s="2" t="s">
        <v>3</v>
      </c>
      <c r="BG33" s="2" t="s">
        <v>3</v>
      </c>
      <c r="BH33" s="2">
        <v>3</v>
      </c>
      <c r="BI33" s="2">
        <v>1</v>
      </c>
      <c r="BJ33" s="2" t="s">
        <v>50</v>
      </c>
      <c r="BK33" s="2"/>
      <c r="BL33" s="2"/>
      <c r="BM33" s="2">
        <v>500001</v>
      </c>
      <c r="BN33" s="2">
        <v>0</v>
      </c>
      <c r="BO33" s="2" t="s">
        <v>3</v>
      </c>
      <c r="BP33" s="2">
        <v>0</v>
      </c>
      <c r="BQ33" s="2">
        <v>20</v>
      </c>
      <c r="BR33" s="2">
        <v>0</v>
      </c>
      <c r="BS33" s="2">
        <v>1</v>
      </c>
      <c r="BT33" s="2">
        <v>1</v>
      </c>
      <c r="BU33" s="2">
        <v>1</v>
      </c>
      <c r="BV33" s="2">
        <v>1</v>
      </c>
      <c r="BW33" s="2">
        <v>1</v>
      </c>
      <c r="BX33" s="2">
        <v>1</v>
      </c>
      <c r="BY33" s="2" t="s">
        <v>3</v>
      </c>
      <c r="BZ33" s="2">
        <v>0</v>
      </c>
      <c r="CA33" s="2">
        <v>0</v>
      </c>
      <c r="CB33" s="2" t="s">
        <v>3</v>
      </c>
      <c r="CC33" s="2"/>
      <c r="CD33" s="2"/>
      <c r="CE33" s="2">
        <v>0</v>
      </c>
      <c r="CF33" s="2">
        <v>0</v>
      </c>
      <c r="CG33" s="2">
        <v>0</v>
      </c>
      <c r="CH33" s="2"/>
      <c r="CI33" s="2"/>
      <c r="CJ33" s="2"/>
      <c r="CK33" s="2"/>
      <c r="CL33" s="2"/>
      <c r="CM33" s="2">
        <v>0</v>
      </c>
      <c r="CN33" s="2" t="s">
        <v>3</v>
      </c>
      <c r="CO33" s="2">
        <v>0</v>
      </c>
      <c r="CP33" s="2">
        <f t="shared" si="33"/>
        <v>1</v>
      </c>
      <c r="CQ33" s="2">
        <f t="shared" si="34"/>
        <v>40650</v>
      </c>
      <c r="CR33" s="2">
        <f t="shared" si="35"/>
        <v>0</v>
      </c>
      <c r="CS33" s="2">
        <f t="shared" si="36"/>
        <v>0</v>
      </c>
      <c r="CT33" s="2">
        <f t="shared" si="37"/>
        <v>0</v>
      </c>
      <c r="CU33" s="2">
        <f t="shared" si="38"/>
        <v>0</v>
      </c>
      <c r="CV33" s="2">
        <f t="shared" si="39"/>
        <v>0</v>
      </c>
      <c r="CW33" s="2">
        <f t="shared" si="40"/>
        <v>0</v>
      </c>
      <c r="CX33" s="2">
        <f t="shared" si="41"/>
        <v>0</v>
      </c>
      <c r="CY33" s="2">
        <f>(((S33+(R33*IF(0,0,1)))*AT33)/100)</f>
        <v>0</v>
      </c>
      <c r="CZ33" s="2">
        <f>(((S33+(R33*IF(0,0,1)))*AU33)/100)</f>
        <v>0</v>
      </c>
      <c r="DA33" s="2"/>
      <c r="DB33" s="2"/>
      <c r="DC33" s="2" t="s">
        <v>3</v>
      </c>
      <c r="DD33" s="2" t="s">
        <v>3</v>
      </c>
      <c r="DE33" s="2" t="s">
        <v>3</v>
      </c>
      <c r="DF33" s="2" t="s">
        <v>3</v>
      </c>
      <c r="DG33" s="2" t="s">
        <v>3</v>
      </c>
      <c r="DH33" s="2" t="s">
        <v>3</v>
      </c>
      <c r="DI33" s="2" t="s">
        <v>3</v>
      </c>
      <c r="DJ33" s="2" t="s">
        <v>3</v>
      </c>
      <c r="DK33" s="2" t="s">
        <v>3</v>
      </c>
      <c r="DL33" s="2" t="s">
        <v>3</v>
      </c>
      <c r="DM33" s="2" t="s">
        <v>3</v>
      </c>
      <c r="DN33" s="2">
        <v>0</v>
      </c>
      <c r="DO33" s="2">
        <v>0</v>
      </c>
      <c r="DP33" s="2">
        <v>1</v>
      </c>
      <c r="DQ33" s="2">
        <v>1</v>
      </c>
      <c r="DR33" s="2"/>
      <c r="DS33" s="2"/>
      <c r="DT33" s="2"/>
      <c r="DU33" s="2">
        <v>1009</v>
      </c>
      <c r="DV33" s="2" t="s">
        <v>33</v>
      </c>
      <c r="DW33" s="2" t="s">
        <v>33</v>
      </c>
      <c r="DX33" s="2">
        <v>1000</v>
      </c>
      <c r="DY33" s="2"/>
      <c r="DZ33" s="2" t="s">
        <v>3</v>
      </c>
      <c r="EA33" s="2" t="s">
        <v>3</v>
      </c>
      <c r="EB33" s="2" t="s">
        <v>3</v>
      </c>
      <c r="EC33" s="2" t="s">
        <v>3</v>
      </c>
      <c r="ED33" s="2"/>
      <c r="EE33" s="2">
        <v>66511700</v>
      </c>
      <c r="EF33" s="2">
        <v>20</v>
      </c>
      <c r="EG33" s="2" t="s">
        <v>35</v>
      </c>
      <c r="EH33" s="2">
        <v>0</v>
      </c>
      <c r="EI33" s="2" t="s">
        <v>3</v>
      </c>
      <c r="EJ33" s="2">
        <v>1</v>
      </c>
      <c r="EK33" s="2">
        <v>500001</v>
      </c>
      <c r="EL33" s="2" t="s">
        <v>36</v>
      </c>
      <c r="EM33" s="2" t="s">
        <v>37</v>
      </c>
      <c r="EN33" s="2"/>
      <c r="EO33" s="2" t="s">
        <v>3</v>
      </c>
      <c r="EP33" s="2"/>
      <c r="EQ33" s="2">
        <v>0</v>
      </c>
      <c r="ER33" s="2">
        <v>40650</v>
      </c>
      <c r="ES33" s="103">
        <f>'1.Лок.смета.и.Акт'!F73</f>
        <v>40650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>
        <v>0</v>
      </c>
      <c r="FR33" s="2">
        <f t="shared" si="42"/>
        <v>0</v>
      </c>
      <c r="FS33" s="2">
        <v>0</v>
      </c>
      <c r="FT33" s="2"/>
      <c r="FU33" s="2"/>
      <c r="FV33" s="2"/>
      <c r="FW33" s="2"/>
      <c r="FX33" s="2">
        <v>0</v>
      </c>
      <c r="FY33" s="2">
        <v>0</v>
      </c>
      <c r="FZ33" s="2"/>
      <c r="GA33" s="2" t="s">
        <v>3</v>
      </c>
      <c r="GB33" s="2"/>
      <c r="GC33" s="2"/>
      <c r="GD33" s="2">
        <v>1</v>
      </c>
      <c r="GE33" s="2"/>
      <c r="GF33" s="2">
        <v>698560581</v>
      </c>
      <c r="GG33" s="2">
        <v>2</v>
      </c>
      <c r="GH33" s="2">
        <v>1</v>
      </c>
      <c r="GI33" s="2">
        <v>-2</v>
      </c>
      <c r="GJ33" s="2">
        <v>0</v>
      </c>
      <c r="GK33" s="2">
        <v>0</v>
      </c>
      <c r="GL33" s="2">
        <f t="shared" si="43"/>
        <v>0</v>
      </c>
      <c r="GM33" s="2">
        <f t="shared" si="44"/>
        <v>1</v>
      </c>
      <c r="GN33" s="2">
        <f t="shared" si="45"/>
        <v>1</v>
      </c>
      <c r="GO33" s="2">
        <f t="shared" si="46"/>
        <v>0</v>
      </c>
      <c r="GP33" s="2">
        <f t="shared" si="47"/>
        <v>0</v>
      </c>
      <c r="GQ33" s="2"/>
      <c r="GR33" s="2">
        <v>0</v>
      </c>
      <c r="GS33" s="2">
        <v>3</v>
      </c>
      <c r="GT33" s="2">
        <v>0</v>
      </c>
      <c r="GU33" s="2" t="s">
        <v>3</v>
      </c>
      <c r="GV33" s="2">
        <f t="shared" si="48"/>
        <v>0</v>
      </c>
      <c r="GW33" s="2">
        <v>1</v>
      </c>
      <c r="GX33" s="2">
        <f t="shared" si="49"/>
        <v>0</v>
      </c>
      <c r="GY33" s="2"/>
      <c r="GZ33" s="2"/>
      <c r="HA33" s="2">
        <v>0</v>
      </c>
      <c r="HB33" s="2">
        <v>0</v>
      </c>
      <c r="HC33" s="2">
        <f t="shared" si="50"/>
        <v>0</v>
      </c>
      <c r="HD33" s="2"/>
      <c r="HE33" s="2" t="s">
        <v>3</v>
      </c>
      <c r="HF33" s="2" t="s">
        <v>3</v>
      </c>
      <c r="HG33" s="2"/>
      <c r="HH33" s="2"/>
      <c r="HI33" s="2"/>
      <c r="HJ33" s="2"/>
      <c r="HK33" s="2"/>
      <c r="HL33" s="2"/>
      <c r="HM33" s="2" t="s">
        <v>3</v>
      </c>
      <c r="HN33" s="2" t="s">
        <v>3</v>
      </c>
      <c r="HO33" s="2" t="s">
        <v>3</v>
      </c>
      <c r="HP33" s="2" t="s">
        <v>3</v>
      </c>
      <c r="HQ33" s="2" t="s">
        <v>3</v>
      </c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>
        <v>-1</v>
      </c>
      <c r="IG33" s="2"/>
      <c r="IH33" s="2"/>
      <c r="II33" s="2"/>
      <c r="IJ33" s="2"/>
      <c r="IK33" s="2">
        <v>0</v>
      </c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x14ac:dyDescent="0.2">
      <c r="A34">
        <v>18</v>
      </c>
      <c r="B34">
        <v>1</v>
      </c>
      <c r="C34">
        <v>23</v>
      </c>
      <c r="E34" t="s">
        <v>49</v>
      </c>
      <c r="F34" t="e">
        <f>'ТЗ '!#REF!</f>
        <v>#REF!</v>
      </c>
      <c r="G34" t="s">
        <v>32</v>
      </c>
      <c r="H34" t="s">
        <v>33</v>
      </c>
      <c r="I34">
        <f>I32*J34</f>
        <v>3.0000000000000001E-5</v>
      </c>
      <c r="J34" s="211">
        <f>'5.Ведомость_списания'!F31</f>
        <v>8.0000000000000004E-4</v>
      </c>
      <c r="K34">
        <v>8.0000000000000004E-4</v>
      </c>
      <c r="O34">
        <f t="shared" si="14"/>
        <v>1</v>
      </c>
      <c r="P34">
        <f t="shared" si="15"/>
        <v>1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71570244</v>
      </c>
      <c r="AB34">
        <f t="shared" si="25"/>
        <v>5376.98</v>
      </c>
      <c r="AC34">
        <f>ROUND((ES34),2)</f>
        <v>5376.98</v>
      </c>
      <c r="AD34">
        <f t="shared" si="26"/>
        <v>0</v>
      </c>
      <c r="AE34">
        <f t="shared" si="27"/>
        <v>0</v>
      </c>
      <c r="AF34">
        <f t="shared" si="28"/>
        <v>0</v>
      </c>
      <c r="AG34">
        <f t="shared" si="29"/>
        <v>0</v>
      </c>
      <c r="AH34">
        <f t="shared" si="30"/>
        <v>0</v>
      </c>
      <c r="AI34">
        <f t="shared" si="31"/>
        <v>0</v>
      </c>
      <c r="AJ34">
        <f t="shared" si="32"/>
        <v>31.23</v>
      </c>
      <c r="AK34">
        <v>5376.98</v>
      </c>
      <c r="AL34">
        <v>5376.98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31.23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7.56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50</v>
      </c>
      <c r="BM34">
        <v>500001</v>
      </c>
      <c r="BN34">
        <v>0</v>
      </c>
      <c r="BO34" t="s">
        <v>3</v>
      </c>
      <c r="BP34">
        <v>0</v>
      </c>
      <c r="BQ34">
        <v>20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3"/>
        <v>1</v>
      </c>
      <c r="CQ34">
        <f t="shared" si="34"/>
        <v>40649.968799999995</v>
      </c>
      <c r="CR34">
        <f t="shared" si="35"/>
        <v>0</v>
      </c>
      <c r="CS34">
        <f t="shared" si="36"/>
        <v>0</v>
      </c>
      <c r="CT34">
        <f t="shared" si="37"/>
        <v>0</v>
      </c>
      <c r="CU34">
        <f t="shared" si="38"/>
        <v>0</v>
      </c>
      <c r="CV34">
        <f t="shared" si="39"/>
        <v>0</v>
      </c>
      <c r="CW34">
        <f t="shared" si="40"/>
        <v>0</v>
      </c>
      <c r="CX34">
        <f t="shared" si="41"/>
        <v>31.23</v>
      </c>
      <c r="CY34">
        <f>(S34+R34)*(BZ34/100)</f>
        <v>0</v>
      </c>
      <c r="CZ34">
        <f>(S34+R34)*(CA34/100)</f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1009</v>
      </c>
      <c r="DV34" t="s">
        <v>33</v>
      </c>
      <c r="DW34" t="e">
        <f>'ТЗ '!#REF!</f>
        <v>#REF!</v>
      </c>
      <c r="DX34">
        <v>1000</v>
      </c>
      <c r="DZ34" t="s">
        <v>3</v>
      </c>
      <c r="EA34" t="s">
        <v>3</v>
      </c>
      <c r="EB34" t="s">
        <v>3</v>
      </c>
      <c r="EC34" t="s">
        <v>3</v>
      </c>
      <c r="EE34">
        <v>66511700</v>
      </c>
      <c r="EF34">
        <v>20</v>
      </c>
      <c r="EG34" t="s">
        <v>35</v>
      </c>
      <c r="EH34">
        <v>0</v>
      </c>
      <c r="EI34" t="s">
        <v>3</v>
      </c>
      <c r="EJ34">
        <v>1</v>
      </c>
      <c r="EK34">
        <v>500001</v>
      </c>
      <c r="EL34" t="s">
        <v>36</v>
      </c>
      <c r="EM34" t="s">
        <v>37</v>
      </c>
      <c r="EO34" t="s">
        <v>3</v>
      </c>
      <c r="EQ34">
        <v>0</v>
      </c>
      <c r="ER34">
        <v>40650</v>
      </c>
      <c r="ES34">
        <v>5376.98</v>
      </c>
      <c r="ET34">
        <v>0</v>
      </c>
      <c r="EU34">
        <v>0</v>
      </c>
      <c r="EV34">
        <v>0</v>
      </c>
      <c r="EW34">
        <v>0</v>
      </c>
      <c r="EX34">
        <v>0</v>
      </c>
      <c r="EZ34">
        <v>5</v>
      </c>
      <c r="FC34">
        <v>0</v>
      </c>
      <c r="FD34">
        <v>18</v>
      </c>
      <c r="FF34">
        <v>40650</v>
      </c>
      <c r="FQ34">
        <v>0</v>
      </c>
      <c r="FR34">
        <f t="shared" si="42"/>
        <v>0</v>
      </c>
      <c r="FS34">
        <v>0</v>
      </c>
      <c r="FX34">
        <v>0</v>
      </c>
      <c r="FY34">
        <v>0</v>
      </c>
      <c r="GA34" t="s">
        <v>51</v>
      </c>
      <c r="GD34">
        <v>1</v>
      </c>
      <c r="GF34">
        <v>698560581</v>
      </c>
      <c r="GG34">
        <v>2</v>
      </c>
      <c r="GH34">
        <v>3</v>
      </c>
      <c r="GI34">
        <v>5</v>
      </c>
      <c r="GJ34">
        <v>0</v>
      </c>
      <c r="GK34">
        <v>0</v>
      </c>
      <c r="GL34">
        <f t="shared" si="43"/>
        <v>0</v>
      </c>
      <c r="GM34">
        <f t="shared" si="44"/>
        <v>1</v>
      </c>
      <c r="GN34">
        <f t="shared" si="45"/>
        <v>1</v>
      </c>
      <c r="GO34">
        <f t="shared" si="46"/>
        <v>0</v>
      </c>
      <c r="GP34">
        <f t="shared" si="47"/>
        <v>0</v>
      </c>
      <c r="GR34">
        <v>1</v>
      </c>
      <c r="GS34">
        <v>1</v>
      </c>
      <c r="GT34">
        <v>0</v>
      </c>
      <c r="GU34" t="s">
        <v>3</v>
      </c>
      <c r="GV34">
        <f t="shared" si="48"/>
        <v>0</v>
      </c>
      <c r="GW34">
        <v>1</v>
      </c>
      <c r="GX34">
        <f t="shared" si="49"/>
        <v>0</v>
      </c>
      <c r="HA34">
        <v>0</v>
      </c>
      <c r="HB34">
        <v>0</v>
      </c>
      <c r="HC34">
        <f t="shared" si="50"/>
        <v>0</v>
      </c>
      <c r="HE34" t="s">
        <v>52</v>
      </c>
      <c r="HF34" t="s">
        <v>52</v>
      </c>
      <c r="HM34" t="s">
        <v>3</v>
      </c>
      <c r="HN34" t="s">
        <v>3</v>
      </c>
      <c r="HO34" t="s">
        <v>3</v>
      </c>
      <c r="HP34" t="s">
        <v>3</v>
      </c>
      <c r="HQ34" t="s">
        <v>3</v>
      </c>
      <c r="IF34">
        <v>-1</v>
      </c>
      <c r="IK34">
        <v>0</v>
      </c>
    </row>
    <row r="35" spans="1:255" x14ac:dyDescent="0.2">
      <c r="A35" s="2">
        <v>18</v>
      </c>
      <c r="B35" s="2">
        <v>1</v>
      </c>
      <c r="C35" s="2">
        <v>18</v>
      </c>
      <c r="D35" s="2"/>
      <c r="E35" s="2" t="s">
        <v>53</v>
      </c>
      <c r="F35" s="2" t="s">
        <v>42</v>
      </c>
      <c r="G35" s="2" t="s">
        <v>54</v>
      </c>
      <c r="H35" s="2" t="s">
        <v>33</v>
      </c>
      <c r="I35" s="2">
        <f>I31*J35</f>
        <v>6.3E-3</v>
      </c>
      <c r="J35" s="2">
        <v>0.16800000000000001</v>
      </c>
      <c r="K35" s="2">
        <v>0.16800000000000001</v>
      </c>
      <c r="L35" s="2"/>
      <c r="M35" s="2"/>
      <c r="N35" s="2"/>
      <c r="O35" s="2">
        <f t="shared" si="14"/>
        <v>157</v>
      </c>
      <c r="P35" s="2">
        <f t="shared" si="15"/>
        <v>157</v>
      </c>
      <c r="Q35" s="2">
        <f t="shared" si="16"/>
        <v>0</v>
      </c>
      <c r="R35" s="2">
        <f t="shared" si="17"/>
        <v>0</v>
      </c>
      <c r="S35" s="2">
        <f t="shared" si="18"/>
        <v>0</v>
      </c>
      <c r="T35" s="2">
        <f t="shared" si="19"/>
        <v>0</v>
      </c>
      <c r="U35" s="2">
        <f t="shared" si="20"/>
        <v>0</v>
      </c>
      <c r="V35" s="2">
        <f t="shared" si="21"/>
        <v>0</v>
      </c>
      <c r="W35" s="2">
        <f t="shared" si="22"/>
        <v>0</v>
      </c>
      <c r="X35" s="2">
        <f t="shared" si="23"/>
        <v>0</v>
      </c>
      <c r="Y35" s="2">
        <f t="shared" si="24"/>
        <v>0</v>
      </c>
      <c r="Z35" s="2"/>
      <c r="AA35" s="2">
        <v>71570243</v>
      </c>
      <c r="AB35" s="2">
        <f t="shared" si="25"/>
        <v>24950</v>
      </c>
      <c r="AC35" s="2">
        <f>ROUND((ES35),2)</f>
        <v>24950</v>
      </c>
      <c r="AD35" s="2">
        <f t="shared" si="26"/>
        <v>0</v>
      </c>
      <c r="AE35" s="2">
        <f t="shared" si="27"/>
        <v>0</v>
      </c>
      <c r="AF35" s="2">
        <f t="shared" si="28"/>
        <v>0</v>
      </c>
      <c r="AG35" s="2">
        <f t="shared" si="29"/>
        <v>0</v>
      </c>
      <c r="AH35" s="2">
        <f t="shared" si="30"/>
        <v>0</v>
      </c>
      <c r="AI35" s="2">
        <f t="shared" si="31"/>
        <v>0</v>
      </c>
      <c r="AJ35" s="2">
        <f t="shared" si="32"/>
        <v>0</v>
      </c>
      <c r="AK35" s="2">
        <v>24950</v>
      </c>
      <c r="AL35" s="103">
        <f>'1.Лок.смета.и.Акт'!F75</f>
        <v>24950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1</v>
      </c>
      <c r="AW35" s="2">
        <v>1</v>
      </c>
      <c r="AX35" s="2"/>
      <c r="AY35" s="2"/>
      <c r="AZ35" s="2">
        <v>1</v>
      </c>
      <c r="BA35" s="2">
        <v>1</v>
      </c>
      <c r="BB35" s="2">
        <v>1</v>
      </c>
      <c r="BC35" s="2">
        <v>1</v>
      </c>
      <c r="BD35" s="2" t="s">
        <v>3</v>
      </c>
      <c r="BE35" s="2" t="s">
        <v>3</v>
      </c>
      <c r="BF35" s="2" t="s">
        <v>3</v>
      </c>
      <c r="BG35" s="2" t="s">
        <v>3</v>
      </c>
      <c r="BH35" s="2">
        <v>3</v>
      </c>
      <c r="BI35" s="2">
        <v>1</v>
      </c>
      <c r="BJ35" s="2" t="s">
        <v>55</v>
      </c>
      <c r="BK35" s="2"/>
      <c r="BL35" s="2"/>
      <c r="BM35" s="2">
        <v>500001</v>
      </c>
      <c r="BN35" s="2">
        <v>0</v>
      </c>
      <c r="BO35" s="2" t="s">
        <v>3</v>
      </c>
      <c r="BP35" s="2">
        <v>0</v>
      </c>
      <c r="BQ35" s="2">
        <v>20</v>
      </c>
      <c r="BR35" s="2">
        <v>0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 t="s">
        <v>3</v>
      </c>
      <c r="BZ35" s="2">
        <v>0</v>
      </c>
      <c r="CA35" s="2">
        <v>0</v>
      </c>
      <c r="CB35" s="2" t="s">
        <v>3</v>
      </c>
      <c r="CC35" s="2"/>
      <c r="CD35" s="2"/>
      <c r="CE35" s="2">
        <v>0</v>
      </c>
      <c r="CF35" s="2">
        <v>0</v>
      </c>
      <c r="CG35" s="2">
        <v>0</v>
      </c>
      <c r="CH35" s="2"/>
      <c r="CI35" s="2"/>
      <c r="CJ35" s="2"/>
      <c r="CK35" s="2"/>
      <c r="CL35" s="2"/>
      <c r="CM35" s="2">
        <v>0</v>
      </c>
      <c r="CN35" s="2" t="s">
        <v>3</v>
      </c>
      <c r="CO35" s="2">
        <v>0</v>
      </c>
      <c r="CP35" s="2">
        <f t="shared" si="33"/>
        <v>157</v>
      </c>
      <c r="CQ35" s="2">
        <f t="shared" si="34"/>
        <v>24950</v>
      </c>
      <c r="CR35" s="2">
        <f t="shared" si="35"/>
        <v>0</v>
      </c>
      <c r="CS35" s="2">
        <f t="shared" si="36"/>
        <v>0</v>
      </c>
      <c r="CT35" s="2">
        <f t="shared" si="37"/>
        <v>0</v>
      </c>
      <c r="CU35" s="2">
        <f t="shared" si="38"/>
        <v>0</v>
      </c>
      <c r="CV35" s="2">
        <f t="shared" si="39"/>
        <v>0</v>
      </c>
      <c r="CW35" s="2">
        <f t="shared" si="40"/>
        <v>0</v>
      </c>
      <c r="CX35" s="2">
        <f t="shared" si="41"/>
        <v>0</v>
      </c>
      <c r="CY35" s="2">
        <f>(((S35+(R35*IF(0,0,1)))*AT35)/100)</f>
        <v>0</v>
      </c>
      <c r="CZ35" s="2">
        <f>(((S35+(R35*IF(0,0,1)))*AU35)/100)</f>
        <v>0</v>
      </c>
      <c r="DA35" s="2"/>
      <c r="DB35" s="2"/>
      <c r="DC35" s="2" t="s">
        <v>3</v>
      </c>
      <c r="DD35" s="2" t="s">
        <v>3</v>
      </c>
      <c r="DE35" s="2" t="s">
        <v>3</v>
      </c>
      <c r="DF35" s="2" t="s">
        <v>3</v>
      </c>
      <c r="DG35" s="2" t="s">
        <v>3</v>
      </c>
      <c r="DH35" s="2" t="s">
        <v>3</v>
      </c>
      <c r="DI35" s="2" t="s">
        <v>3</v>
      </c>
      <c r="DJ35" s="2" t="s">
        <v>3</v>
      </c>
      <c r="DK35" s="2" t="s">
        <v>3</v>
      </c>
      <c r="DL35" s="2" t="s">
        <v>3</v>
      </c>
      <c r="DM35" s="2" t="s">
        <v>3</v>
      </c>
      <c r="DN35" s="2">
        <v>0</v>
      </c>
      <c r="DO35" s="2">
        <v>0</v>
      </c>
      <c r="DP35" s="2">
        <v>1</v>
      </c>
      <c r="DQ35" s="2">
        <v>1</v>
      </c>
      <c r="DR35" s="2"/>
      <c r="DS35" s="2"/>
      <c r="DT35" s="2"/>
      <c r="DU35" s="2">
        <v>1009</v>
      </c>
      <c r="DV35" s="2" t="s">
        <v>33</v>
      </c>
      <c r="DW35" s="2" t="s">
        <v>33</v>
      </c>
      <c r="DX35" s="2">
        <v>1000</v>
      </c>
      <c r="DY35" s="2"/>
      <c r="DZ35" s="2" t="s">
        <v>3</v>
      </c>
      <c r="EA35" s="2" t="s">
        <v>3</v>
      </c>
      <c r="EB35" s="2" t="s">
        <v>3</v>
      </c>
      <c r="EC35" s="2" t="s">
        <v>3</v>
      </c>
      <c r="ED35" s="2"/>
      <c r="EE35" s="2">
        <v>66511700</v>
      </c>
      <c r="EF35" s="2">
        <v>20</v>
      </c>
      <c r="EG35" s="2" t="s">
        <v>35</v>
      </c>
      <c r="EH35" s="2">
        <v>0</v>
      </c>
      <c r="EI35" s="2" t="s">
        <v>3</v>
      </c>
      <c r="EJ35" s="2">
        <v>1</v>
      </c>
      <c r="EK35" s="2">
        <v>500001</v>
      </c>
      <c r="EL35" s="2" t="s">
        <v>36</v>
      </c>
      <c r="EM35" s="2" t="s">
        <v>37</v>
      </c>
      <c r="EN35" s="2"/>
      <c r="EO35" s="2" t="s">
        <v>3</v>
      </c>
      <c r="EP35" s="2"/>
      <c r="EQ35" s="2">
        <v>0</v>
      </c>
      <c r="ER35" s="2">
        <v>24950</v>
      </c>
      <c r="ES35" s="103">
        <f>'1.Лок.смета.и.Акт'!F75</f>
        <v>24950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>
        <v>0</v>
      </c>
      <c r="FR35" s="2">
        <f t="shared" si="42"/>
        <v>0</v>
      </c>
      <c r="FS35" s="2">
        <v>0</v>
      </c>
      <c r="FT35" s="2"/>
      <c r="FU35" s="2"/>
      <c r="FV35" s="2"/>
      <c r="FW35" s="2"/>
      <c r="FX35" s="2">
        <v>0</v>
      </c>
      <c r="FY35" s="2">
        <v>0</v>
      </c>
      <c r="FZ35" s="2"/>
      <c r="GA35" s="2" t="s">
        <v>3</v>
      </c>
      <c r="GB35" s="2"/>
      <c r="GC35" s="2"/>
      <c r="GD35" s="2">
        <v>1</v>
      </c>
      <c r="GE35" s="2"/>
      <c r="GF35" s="2">
        <v>920915124</v>
      </c>
      <c r="GG35" s="2">
        <v>2</v>
      </c>
      <c r="GH35" s="2">
        <v>1</v>
      </c>
      <c r="GI35" s="2">
        <v>-2</v>
      </c>
      <c r="GJ35" s="2">
        <v>0</v>
      </c>
      <c r="GK35" s="2">
        <v>0</v>
      </c>
      <c r="GL35" s="2">
        <f t="shared" si="43"/>
        <v>0</v>
      </c>
      <c r="GM35" s="2">
        <f t="shared" si="44"/>
        <v>157</v>
      </c>
      <c r="GN35" s="2">
        <f t="shared" si="45"/>
        <v>157</v>
      </c>
      <c r="GO35" s="2">
        <f t="shared" si="46"/>
        <v>0</v>
      </c>
      <c r="GP35" s="2">
        <f t="shared" si="47"/>
        <v>0</v>
      </c>
      <c r="GQ35" s="2"/>
      <c r="GR35" s="2">
        <v>0</v>
      </c>
      <c r="GS35" s="2">
        <v>3</v>
      </c>
      <c r="GT35" s="2">
        <v>0</v>
      </c>
      <c r="GU35" s="2" t="s">
        <v>3</v>
      </c>
      <c r="GV35" s="2">
        <f t="shared" si="48"/>
        <v>0</v>
      </c>
      <c r="GW35" s="2">
        <v>1</v>
      </c>
      <c r="GX35" s="2">
        <f t="shared" si="49"/>
        <v>0</v>
      </c>
      <c r="GY35" s="2"/>
      <c r="GZ35" s="2"/>
      <c r="HA35" s="2">
        <v>0</v>
      </c>
      <c r="HB35" s="2">
        <v>0</v>
      </c>
      <c r="HC35" s="2">
        <f t="shared" si="50"/>
        <v>0</v>
      </c>
      <c r="HD35" s="2"/>
      <c r="HE35" s="2" t="s">
        <v>3</v>
      </c>
      <c r="HF35" s="2" t="s">
        <v>3</v>
      </c>
      <c r="HG35" s="2"/>
      <c r="HH35" s="2"/>
      <c r="HI35" s="2"/>
      <c r="HJ35" s="2"/>
      <c r="HK35" s="2"/>
      <c r="HL35" s="2"/>
      <c r="HM35" s="2" t="s">
        <v>3</v>
      </c>
      <c r="HN35" s="2" t="s">
        <v>3</v>
      </c>
      <c r="HO35" s="2" t="s">
        <v>3</v>
      </c>
      <c r="HP35" s="2" t="s">
        <v>3</v>
      </c>
      <c r="HQ35" s="2" t="s">
        <v>3</v>
      </c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>
        <v>-1</v>
      </c>
      <c r="IG35" s="2"/>
      <c r="IH35" s="2"/>
      <c r="II35" s="2"/>
      <c r="IJ35" s="2"/>
      <c r="IK35" s="2">
        <v>0</v>
      </c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x14ac:dyDescent="0.2">
      <c r="A36">
        <v>18</v>
      </c>
      <c r="B36">
        <v>1</v>
      </c>
      <c r="C36">
        <v>24</v>
      </c>
      <c r="E36" t="s">
        <v>53</v>
      </c>
      <c r="F36" t="e">
        <f>'ТЗ '!#REF!</f>
        <v>#REF!</v>
      </c>
      <c r="G36" t="s">
        <v>54</v>
      </c>
      <c r="H36" t="s">
        <v>33</v>
      </c>
      <c r="I36">
        <f>I32*J36</f>
        <v>6.3E-3</v>
      </c>
      <c r="J36" s="211">
        <f>'5.Ведомость_списания'!F32</f>
        <v>0.16800000000000001</v>
      </c>
      <c r="K36">
        <v>0.16800000000000001</v>
      </c>
      <c r="O36">
        <f t="shared" si="14"/>
        <v>1043</v>
      </c>
      <c r="P36">
        <f t="shared" si="15"/>
        <v>1043</v>
      </c>
      <c r="Q36">
        <f t="shared" si="16"/>
        <v>0</v>
      </c>
      <c r="R36">
        <f t="shared" si="17"/>
        <v>0</v>
      </c>
      <c r="S36">
        <f t="shared" si="18"/>
        <v>0</v>
      </c>
      <c r="T36">
        <f t="shared" si="19"/>
        <v>0</v>
      </c>
      <c r="U36">
        <f t="shared" si="20"/>
        <v>0</v>
      </c>
      <c r="V36">
        <f t="shared" si="21"/>
        <v>0</v>
      </c>
      <c r="W36">
        <f t="shared" si="22"/>
        <v>0</v>
      </c>
      <c r="X36">
        <f t="shared" si="23"/>
        <v>0</v>
      </c>
      <c r="Y36">
        <f t="shared" si="24"/>
        <v>0</v>
      </c>
      <c r="AA36">
        <v>71570244</v>
      </c>
      <c r="AB36">
        <f t="shared" si="25"/>
        <v>21896.83</v>
      </c>
      <c r="AC36">
        <f>ROUND((ES36),2)</f>
        <v>21896.83</v>
      </c>
      <c r="AD36">
        <f t="shared" si="26"/>
        <v>0</v>
      </c>
      <c r="AE36">
        <f t="shared" si="27"/>
        <v>0</v>
      </c>
      <c r="AF36">
        <f t="shared" si="28"/>
        <v>0</v>
      </c>
      <c r="AG36">
        <f t="shared" si="29"/>
        <v>0</v>
      </c>
      <c r="AH36">
        <f t="shared" si="30"/>
        <v>0</v>
      </c>
      <c r="AI36">
        <f t="shared" si="31"/>
        <v>0</v>
      </c>
      <c r="AJ36">
        <f t="shared" si="32"/>
        <v>23.96</v>
      </c>
      <c r="AK36">
        <v>21896.83</v>
      </c>
      <c r="AL36">
        <v>21896.83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23.96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7.56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55</v>
      </c>
      <c r="BM36">
        <v>500001</v>
      </c>
      <c r="BN36">
        <v>0</v>
      </c>
      <c r="BO36" t="s">
        <v>3</v>
      </c>
      <c r="BP36">
        <v>0</v>
      </c>
      <c r="BQ36">
        <v>20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3"/>
        <v>1043</v>
      </c>
      <c r="CQ36">
        <f t="shared" si="34"/>
        <v>165540.03479999999</v>
      </c>
      <c r="CR36">
        <f t="shared" si="35"/>
        <v>0</v>
      </c>
      <c r="CS36">
        <f t="shared" si="36"/>
        <v>0</v>
      </c>
      <c r="CT36">
        <f t="shared" si="37"/>
        <v>0</v>
      </c>
      <c r="CU36">
        <f t="shared" si="38"/>
        <v>0</v>
      </c>
      <c r="CV36">
        <f t="shared" si="39"/>
        <v>0</v>
      </c>
      <c r="CW36">
        <f t="shared" si="40"/>
        <v>0</v>
      </c>
      <c r="CX36">
        <f t="shared" si="41"/>
        <v>23.96</v>
      </c>
      <c r="CY36">
        <f>(S36+R36)*(BZ36/100)</f>
        <v>0</v>
      </c>
      <c r="CZ36">
        <f>(S36+R36)*(CA36/100)</f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1009</v>
      </c>
      <c r="DV36" t="s">
        <v>33</v>
      </c>
      <c r="DW36" t="e">
        <f>'ТЗ '!#REF!</f>
        <v>#REF!</v>
      </c>
      <c r="DX36">
        <v>1000</v>
      </c>
      <c r="DZ36" t="s">
        <v>3</v>
      </c>
      <c r="EA36" t="s">
        <v>3</v>
      </c>
      <c r="EB36" t="s">
        <v>3</v>
      </c>
      <c r="EC36" t="s">
        <v>3</v>
      </c>
      <c r="EE36">
        <v>66511700</v>
      </c>
      <c r="EF36">
        <v>20</v>
      </c>
      <c r="EG36" t="s">
        <v>35</v>
      </c>
      <c r="EH36">
        <v>0</v>
      </c>
      <c r="EI36" t="s">
        <v>3</v>
      </c>
      <c r="EJ36">
        <v>1</v>
      </c>
      <c r="EK36">
        <v>500001</v>
      </c>
      <c r="EL36" t="s">
        <v>36</v>
      </c>
      <c r="EM36" t="s">
        <v>37</v>
      </c>
      <c r="EO36" t="s">
        <v>3</v>
      </c>
      <c r="EQ36">
        <v>0</v>
      </c>
      <c r="ER36">
        <v>165540</v>
      </c>
      <c r="ES36">
        <v>21896.83</v>
      </c>
      <c r="ET36">
        <v>0</v>
      </c>
      <c r="EU36">
        <v>0</v>
      </c>
      <c r="EV36">
        <v>0</v>
      </c>
      <c r="EW36">
        <v>0</v>
      </c>
      <c r="EX36">
        <v>0</v>
      </c>
      <c r="EZ36">
        <v>5</v>
      </c>
      <c r="FC36">
        <v>0</v>
      </c>
      <c r="FD36">
        <v>18</v>
      </c>
      <c r="FF36">
        <v>165540</v>
      </c>
      <c r="FQ36">
        <v>0</v>
      </c>
      <c r="FR36">
        <f t="shared" si="42"/>
        <v>0</v>
      </c>
      <c r="FS36">
        <v>0</v>
      </c>
      <c r="FX36">
        <v>0</v>
      </c>
      <c r="FY36">
        <v>0</v>
      </c>
      <c r="GA36" t="s">
        <v>56</v>
      </c>
      <c r="GD36">
        <v>1</v>
      </c>
      <c r="GF36">
        <v>920915124</v>
      </c>
      <c r="GG36">
        <v>2</v>
      </c>
      <c r="GH36">
        <v>3</v>
      </c>
      <c r="GI36">
        <v>5</v>
      </c>
      <c r="GJ36">
        <v>0</v>
      </c>
      <c r="GK36">
        <v>0</v>
      </c>
      <c r="GL36">
        <f t="shared" si="43"/>
        <v>0</v>
      </c>
      <c r="GM36">
        <f t="shared" si="44"/>
        <v>1043</v>
      </c>
      <c r="GN36">
        <f t="shared" si="45"/>
        <v>1043</v>
      </c>
      <c r="GO36">
        <f t="shared" si="46"/>
        <v>0</v>
      </c>
      <c r="GP36">
        <f t="shared" si="47"/>
        <v>0</v>
      </c>
      <c r="GR36">
        <v>1</v>
      </c>
      <c r="GS36">
        <v>1</v>
      </c>
      <c r="GT36">
        <v>0</v>
      </c>
      <c r="GU36" t="s">
        <v>3</v>
      </c>
      <c r="GV36">
        <f t="shared" si="48"/>
        <v>0</v>
      </c>
      <c r="GW36">
        <v>1</v>
      </c>
      <c r="GX36">
        <f t="shared" si="49"/>
        <v>0</v>
      </c>
      <c r="HA36">
        <v>0</v>
      </c>
      <c r="HB36">
        <v>0</v>
      </c>
      <c r="HC36">
        <f t="shared" si="50"/>
        <v>0</v>
      </c>
      <c r="HE36" t="s">
        <v>52</v>
      </c>
      <c r="HF36" t="s">
        <v>52</v>
      </c>
      <c r="HM36" t="s">
        <v>3</v>
      </c>
      <c r="HN36" t="s">
        <v>3</v>
      </c>
      <c r="HO36" t="s">
        <v>3</v>
      </c>
      <c r="HP36" t="s">
        <v>3</v>
      </c>
      <c r="HQ36" t="s">
        <v>3</v>
      </c>
      <c r="IF36">
        <v>-1</v>
      </c>
      <c r="IK36">
        <v>0</v>
      </c>
    </row>
    <row r="37" spans="1:255" x14ac:dyDescent="0.2">
      <c r="A37" s="2">
        <v>17</v>
      </c>
      <c r="B37" s="2">
        <v>1</v>
      </c>
      <c r="C37" s="2">
        <f>ROW(SmtRes!A34)</f>
        <v>34</v>
      </c>
      <c r="D37" s="2">
        <f>ROW(EtalonRes!A40)</f>
        <v>40</v>
      </c>
      <c r="E37" s="2" t="s">
        <v>57</v>
      </c>
      <c r="F37" s="2" t="s">
        <v>58</v>
      </c>
      <c r="G37" s="2" t="s">
        <v>59</v>
      </c>
      <c r="H37" s="2" t="s">
        <v>60</v>
      </c>
      <c r="I37" s="2">
        <f>'ТЗ '!E21</f>
        <v>1.6400000000000001E-2</v>
      </c>
      <c r="J37" s="2">
        <v>0</v>
      </c>
      <c r="K37" s="2">
        <f>ROUND(8.2*2/1000,9)</f>
        <v>1.6400000000000001E-2</v>
      </c>
      <c r="L37" s="2"/>
      <c r="M37" s="2"/>
      <c r="N37" s="2"/>
      <c r="O37" s="2">
        <f t="shared" si="14"/>
        <v>141</v>
      </c>
      <c r="P37" s="2">
        <f t="shared" si="15"/>
        <v>0</v>
      </c>
      <c r="Q37" s="2">
        <f t="shared" si="16"/>
        <v>84</v>
      </c>
      <c r="R37" s="2">
        <f t="shared" si="17"/>
        <v>8</v>
      </c>
      <c r="S37" s="2">
        <f t="shared" si="18"/>
        <v>57</v>
      </c>
      <c r="T37" s="2">
        <f t="shared" si="19"/>
        <v>0</v>
      </c>
      <c r="U37" s="2">
        <f t="shared" si="20"/>
        <v>6.6808680000000003</v>
      </c>
      <c r="V37" s="2">
        <f t="shared" si="21"/>
        <v>0.6510800000000001</v>
      </c>
      <c r="W37" s="2">
        <f t="shared" si="22"/>
        <v>0</v>
      </c>
      <c r="X37" s="2">
        <f t="shared" si="23"/>
        <v>92</v>
      </c>
      <c r="Y37" s="2">
        <f t="shared" si="24"/>
        <v>62</v>
      </c>
      <c r="Z37" s="2"/>
      <c r="AA37" s="2">
        <v>71570243</v>
      </c>
      <c r="AB37" s="2">
        <f t="shared" si="25"/>
        <v>8573.86</v>
      </c>
      <c r="AC37" s="2">
        <f>ROUND((ES37+(SUM(SmtRes!BC25:'SmtRes'!BC34)+SUM(EtalonRes!AL25:'EtalonRes'!AL40))),2)</f>
        <v>0</v>
      </c>
      <c r="AD37" s="2">
        <f t="shared" si="26"/>
        <v>5098.99</v>
      </c>
      <c r="AE37" s="2">
        <f t="shared" si="27"/>
        <v>514.12</v>
      </c>
      <c r="AF37" s="2">
        <f t="shared" si="28"/>
        <v>3474.87</v>
      </c>
      <c r="AG37" s="2">
        <f t="shared" si="29"/>
        <v>0</v>
      </c>
      <c r="AH37" s="2">
        <f t="shared" si="30"/>
        <v>407.37</v>
      </c>
      <c r="AI37" s="2">
        <f t="shared" si="31"/>
        <v>39.700000000000003</v>
      </c>
      <c r="AJ37" s="2">
        <f t="shared" si="32"/>
        <v>0</v>
      </c>
      <c r="AK37" s="2">
        <v>24538.39</v>
      </c>
      <c r="AL37" s="2">
        <v>15964.53</v>
      </c>
      <c r="AM37" s="2">
        <v>5098.99</v>
      </c>
      <c r="AN37" s="2">
        <v>514.12</v>
      </c>
      <c r="AO37" s="2">
        <v>3474.87</v>
      </c>
      <c r="AP37" s="2">
        <v>0</v>
      </c>
      <c r="AQ37" s="2">
        <v>407.37</v>
      </c>
      <c r="AR37" s="2">
        <v>39.700000000000003</v>
      </c>
      <c r="AS37" s="2">
        <v>0</v>
      </c>
      <c r="AT37" s="2">
        <v>142</v>
      </c>
      <c r="AU37" s="2">
        <v>95</v>
      </c>
      <c r="AV37" s="2">
        <v>1</v>
      </c>
      <c r="AW37" s="2">
        <v>1</v>
      </c>
      <c r="AX37" s="2"/>
      <c r="AY37" s="2"/>
      <c r="AZ37" s="2">
        <v>1</v>
      </c>
      <c r="BA37" s="2">
        <v>1</v>
      </c>
      <c r="BB37" s="2">
        <v>1</v>
      </c>
      <c r="BC37" s="2">
        <v>1</v>
      </c>
      <c r="BD37" s="2" t="s">
        <v>3</v>
      </c>
      <c r="BE37" s="2" t="s">
        <v>3</v>
      </c>
      <c r="BF37" s="2" t="s">
        <v>3</v>
      </c>
      <c r="BG37" s="2" t="s">
        <v>3</v>
      </c>
      <c r="BH37" s="2">
        <v>0</v>
      </c>
      <c r="BI37" s="2">
        <v>1</v>
      </c>
      <c r="BJ37" s="2" t="s">
        <v>61</v>
      </c>
      <c r="BK37" s="2"/>
      <c r="BL37" s="2"/>
      <c r="BM37" s="2">
        <v>27001</v>
      </c>
      <c r="BN37" s="2">
        <v>0</v>
      </c>
      <c r="BO37" s="2" t="s">
        <v>3</v>
      </c>
      <c r="BP37" s="2">
        <v>0</v>
      </c>
      <c r="BQ37" s="2">
        <v>1</v>
      </c>
      <c r="BR37" s="2">
        <v>0</v>
      </c>
      <c r="BS37" s="2">
        <v>1</v>
      </c>
      <c r="BT37" s="2">
        <v>1</v>
      </c>
      <c r="BU37" s="2">
        <v>1</v>
      </c>
      <c r="BV37" s="2">
        <v>1</v>
      </c>
      <c r="BW37" s="2">
        <v>1</v>
      </c>
      <c r="BX37" s="2">
        <v>1</v>
      </c>
      <c r="BY37" s="2" t="s">
        <v>3</v>
      </c>
      <c r="BZ37" s="2">
        <v>142</v>
      </c>
      <c r="CA37" s="2">
        <v>95</v>
      </c>
      <c r="CB37" s="2" t="s">
        <v>3</v>
      </c>
      <c r="CC37" s="2"/>
      <c r="CD37" s="2"/>
      <c r="CE37" s="2">
        <v>0</v>
      </c>
      <c r="CF37" s="2">
        <v>0</v>
      </c>
      <c r="CG37" s="2">
        <v>0</v>
      </c>
      <c r="CH37" s="2"/>
      <c r="CI37" s="2"/>
      <c r="CJ37" s="2"/>
      <c r="CK37" s="2"/>
      <c r="CL37" s="2"/>
      <c r="CM37" s="2">
        <v>0</v>
      </c>
      <c r="CN37" s="2" t="s">
        <v>3</v>
      </c>
      <c r="CO37" s="2">
        <v>0</v>
      </c>
      <c r="CP37" s="2">
        <f t="shared" si="33"/>
        <v>141</v>
      </c>
      <c r="CQ37" s="2">
        <f t="shared" si="34"/>
        <v>0</v>
      </c>
      <c r="CR37" s="2">
        <f t="shared" si="35"/>
        <v>5098.99</v>
      </c>
      <c r="CS37" s="2">
        <f t="shared" si="36"/>
        <v>514.12</v>
      </c>
      <c r="CT37" s="2">
        <f t="shared" si="37"/>
        <v>3474.87</v>
      </c>
      <c r="CU37" s="2">
        <f t="shared" si="38"/>
        <v>0</v>
      </c>
      <c r="CV37" s="2">
        <f t="shared" si="39"/>
        <v>407.37</v>
      </c>
      <c r="CW37" s="2">
        <f t="shared" si="40"/>
        <v>39.700000000000003</v>
      </c>
      <c r="CX37" s="2">
        <f t="shared" si="41"/>
        <v>0</v>
      </c>
      <c r="CY37" s="2">
        <f>(((S37+(R37*IF(0,0,1)))*AT37)/100)</f>
        <v>92.3</v>
      </c>
      <c r="CZ37" s="2">
        <f>(((S37+(R37*IF(0,0,1)))*AU37)/100)</f>
        <v>61.75</v>
      </c>
      <c r="DA37" s="2"/>
      <c r="DB37" s="2"/>
      <c r="DC37" s="2" t="s">
        <v>3</v>
      </c>
      <c r="DD37" s="2" t="s">
        <v>3</v>
      </c>
      <c r="DE37" s="2" t="s">
        <v>3</v>
      </c>
      <c r="DF37" s="2" t="s">
        <v>3</v>
      </c>
      <c r="DG37" s="2" t="s">
        <v>3</v>
      </c>
      <c r="DH37" s="2" t="s">
        <v>3</v>
      </c>
      <c r="DI37" s="2" t="s">
        <v>3</v>
      </c>
      <c r="DJ37" s="2" t="s">
        <v>3</v>
      </c>
      <c r="DK37" s="2" t="s">
        <v>3</v>
      </c>
      <c r="DL37" s="2" t="s">
        <v>3</v>
      </c>
      <c r="DM37" s="2" t="s">
        <v>3</v>
      </c>
      <c r="DN37" s="2">
        <v>0</v>
      </c>
      <c r="DO37" s="2">
        <v>0</v>
      </c>
      <c r="DP37" s="2">
        <v>1</v>
      </c>
      <c r="DQ37" s="2">
        <v>1</v>
      </c>
      <c r="DR37" s="2"/>
      <c r="DS37" s="2"/>
      <c r="DT37" s="2"/>
      <c r="DU37" s="2">
        <v>1013</v>
      </c>
      <c r="DV37" s="2" t="s">
        <v>60</v>
      </c>
      <c r="DW37" s="2" t="s">
        <v>60</v>
      </c>
      <c r="DX37" s="2">
        <v>1</v>
      </c>
      <c r="DY37" s="2"/>
      <c r="DZ37" s="2" t="s">
        <v>3</v>
      </c>
      <c r="EA37" s="2" t="s">
        <v>3</v>
      </c>
      <c r="EB37" s="2" t="s">
        <v>3</v>
      </c>
      <c r="EC37" s="2" t="s">
        <v>3</v>
      </c>
      <c r="ED37" s="2"/>
      <c r="EE37" s="2">
        <v>66511559</v>
      </c>
      <c r="EF37" s="2">
        <v>1</v>
      </c>
      <c r="EG37" s="2" t="s">
        <v>27</v>
      </c>
      <c r="EH37" s="2">
        <v>0</v>
      </c>
      <c r="EI37" s="2" t="s">
        <v>3</v>
      </c>
      <c r="EJ37" s="2">
        <v>1</v>
      </c>
      <c r="EK37" s="2">
        <v>27001</v>
      </c>
      <c r="EL37" s="2" t="s">
        <v>28</v>
      </c>
      <c r="EM37" s="2" t="s">
        <v>29</v>
      </c>
      <c r="EN37" s="2"/>
      <c r="EO37" s="2" t="s">
        <v>3</v>
      </c>
      <c r="EP37" s="2"/>
      <c r="EQ37" s="2">
        <v>131072</v>
      </c>
      <c r="ER37" s="2">
        <v>24538.39</v>
      </c>
      <c r="ES37" s="2">
        <v>15964.53</v>
      </c>
      <c r="ET37" s="2">
        <v>5098.99</v>
      </c>
      <c r="EU37" s="2">
        <v>514.12</v>
      </c>
      <c r="EV37" s="2">
        <v>3474.87</v>
      </c>
      <c r="EW37" s="2">
        <v>407.37</v>
      </c>
      <c r="EX37" s="2">
        <v>39.700000000000003</v>
      </c>
      <c r="EY37" s="2">
        <v>1</v>
      </c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>
        <v>0</v>
      </c>
      <c r="FR37" s="2">
        <f t="shared" si="42"/>
        <v>0</v>
      </c>
      <c r="FS37" s="2">
        <v>0</v>
      </c>
      <c r="FT37" s="2"/>
      <c r="FU37" s="2"/>
      <c r="FV37" s="2"/>
      <c r="FW37" s="2"/>
      <c r="FX37" s="2">
        <v>142</v>
      </c>
      <c r="FY37" s="2">
        <v>95</v>
      </c>
      <c r="FZ37" s="2"/>
      <c r="GA37" s="2" t="s">
        <v>3</v>
      </c>
      <c r="GB37" s="2"/>
      <c r="GC37" s="2"/>
      <c r="GD37" s="2">
        <v>1</v>
      </c>
      <c r="GE37" s="2"/>
      <c r="GF37" s="2">
        <v>1824129702</v>
      </c>
      <c r="GG37" s="2">
        <v>2</v>
      </c>
      <c r="GH37" s="2">
        <v>1</v>
      </c>
      <c r="GI37" s="2">
        <v>-2</v>
      </c>
      <c r="GJ37" s="2">
        <v>0</v>
      </c>
      <c r="GK37" s="2">
        <v>0</v>
      </c>
      <c r="GL37" s="2">
        <f t="shared" si="43"/>
        <v>0</v>
      </c>
      <c r="GM37" s="2">
        <f t="shared" si="44"/>
        <v>295</v>
      </c>
      <c r="GN37" s="2">
        <f t="shared" si="45"/>
        <v>295</v>
      </c>
      <c r="GO37" s="2">
        <f t="shared" si="46"/>
        <v>0</v>
      </c>
      <c r="GP37" s="2">
        <f t="shared" si="47"/>
        <v>0</v>
      </c>
      <c r="GQ37" s="2"/>
      <c r="GR37" s="2">
        <v>0</v>
      </c>
      <c r="GS37" s="2">
        <v>3</v>
      </c>
      <c r="GT37" s="2">
        <v>0</v>
      </c>
      <c r="GU37" s="2" t="s">
        <v>3</v>
      </c>
      <c r="GV37" s="2">
        <f t="shared" si="48"/>
        <v>0</v>
      </c>
      <c r="GW37" s="2">
        <v>1</v>
      </c>
      <c r="GX37" s="2">
        <f t="shared" si="49"/>
        <v>0</v>
      </c>
      <c r="GY37" s="2"/>
      <c r="GZ37" s="2"/>
      <c r="HA37" s="2">
        <v>0</v>
      </c>
      <c r="HB37" s="2">
        <v>0</v>
      </c>
      <c r="HC37" s="2">
        <f t="shared" si="50"/>
        <v>0</v>
      </c>
      <c r="HD37" s="2"/>
      <c r="HE37" s="2" t="s">
        <v>3</v>
      </c>
      <c r="HF37" s="2" t="s">
        <v>3</v>
      </c>
      <c r="HG37" s="2"/>
      <c r="HH37" s="2"/>
      <c r="HI37" s="2"/>
      <c r="HJ37" s="2"/>
      <c r="HK37" s="2"/>
      <c r="HL37" s="2"/>
      <c r="HM37" s="2" t="s">
        <v>3</v>
      </c>
      <c r="HN37" s="2" t="s">
        <v>3</v>
      </c>
      <c r="HO37" s="2" t="s">
        <v>3</v>
      </c>
      <c r="HP37" s="2" t="s">
        <v>3</v>
      </c>
      <c r="HQ37" s="2" t="s">
        <v>3</v>
      </c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>
        <v>-1</v>
      </c>
      <c r="IG37" s="2"/>
      <c r="IH37" s="2"/>
      <c r="II37" s="2"/>
      <c r="IJ37" s="2"/>
      <c r="IK37" s="2">
        <v>0</v>
      </c>
      <c r="IL37" s="2" t="s">
        <v>298</v>
      </c>
      <c r="IM37" s="2">
        <v>1.6400000000000001E-2</v>
      </c>
      <c r="IN37" s="2"/>
      <c r="IO37" s="2"/>
      <c r="IP37" s="2"/>
      <c r="IQ37" s="2"/>
      <c r="IR37" s="2"/>
      <c r="IS37" s="2"/>
      <c r="IT37" s="2"/>
      <c r="IU37" s="2"/>
    </row>
    <row r="38" spans="1:255" x14ac:dyDescent="0.2">
      <c r="A38">
        <v>17</v>
      </c>
      <c r="B38">
        <v>1</v>
      </c>
      <c r="C38">
        <f>ROW(SmtRes!A44)</f>
        <v>44</v>
      </c>
      <c r="D38">
        <f>ROW(EtalonRes!A56)</f>
        <v>56</v>
      </c>
      <c r="E38" t="s">
        <v>57</v>
      </c>
      <c r="F38" t="s">
        <v>58</v>
      </c>
      <c r="G38" t="s">
        <v>59</v>
      </c>
      <c r="H38" t="s">
        <v>60</v>
      </c>
      <c r="I38">
        <f>'ТЗ '!E21</f>
        <v>1.6400000000000001E-2</v>
      </c>
      <c r="J38">
        <v>0</v>
      </c>
      <c r="K38">
        <f>ROUND(8.2*2/1000,9)</f>
        <v>1.6400000000000001E-2</v>
      </c>
      <c r="O38">
        <f t="shared" si="14"/>
        <v>2944</v>
      </c>
      <c r="P38">
        <f t="shared" si="15"/>
        <v>0</v>
      </c>
      <c r="Q38">
        <f t="shared" si="16"/>
        <v>778</v>
      </c>
      <c r="R38">
        <f t="shared" si="17"/>
        <v>167</v>
      </c>
      <c r="S38">
        <f t="shared" si="18"/>
        <v>2166</v>
      </c>
      <c r="T38">
        <f t="shared" si="19"/>
        <v>0</v>
      </c>
      <c r="U38" t="e">
        <f t="shared" si="20"/>
        <v>#REF!</v>
      </c>
      <c r="V38">
        <f t="shared" si="21"/>
        <v>0.6510800000000001</v>
      </c>
      <c r="W38">
        <f t="shared" si="22"/>
        <v>0</v>
      </c>
      <c r="X38" t="e">
        <f t="shared" si="23"/>
        <v>#REF!</v>
      </c>
      <c r="Y38" t="e">
        <f t="shared" si="24"/>
        <v>#REF!</v>
      </c>
      <c r="AA38">
        <v>71570244</v>
      </c>
      <c r="AB38">
        <f t="shared" si="25"/>
        <v>8573.86</v>
      </c>
      <c r="AC38">
        <f>ROUND((ES38+(SUM(SmtRes!BC35:'SmtRes'!BC44)+SUM(EtalonRes!AL41:'EtalonRes'!AL56))),2)</f>
        <v>0</v>
      </c>
      <c r="AD38">
        <f t="shared" si="26"/>
        <v>5098.99</v>
      </c>
      <c r="AE38">
        <f t="shared" si="27"/>
        <v>514.12</v>
      </c>
      <c r="AF38">
        <f t="shared" si="28"/>
        <v>3474.87</v>
      </c>
      <c r="AG38">
        <f t="shared" si="29"/>
        <v>0</v>
      </c>
      <c r="AH38" t="e">
        <f t="shared" si="30"/>
        <v>#REF!</v>
      </c>
      <c r="AI38">
        <f t="shared" si="31"/>
        <v>39.700000000000003</v>
      </c>
      <c r="AJ38">
        <f t="shared" si="32"/>
        <v>0</v>
      </c>
      <c r="AK38">
        <f>AL38+AM38+AO38</f>
        <v>24538.39</v>
      </c>
      <c r="AL38">
        <v>15964.53</v>
      </c>
      <c r="AM38" s="79">
        <f>'1.Лок.смета.и.Акт'!F83</f>
        <v>5098.99</v>
      </c>
      <c r="AN38" s="79">
        <f>'1.Лок.смета.и.Акт'!F84</f>
        <v>514.12</v>
      </c>
      <c r="AO38" s="79">
        <f>'1.Лок.смета.и.Акт'!F82</f>
        <v>3474.87</v>
      </c>
      <c r="AP38">
        <v>0</v>
      </c>
      <c r="AQ38" t="e">
        <f>'ТЗ '!#REF!</f>
        <v>#REF!</v>
      </c>
      <c r="AR38">
        <v>39.700000000000003</v>
      </c>
      <c r="AS38">
        <v>0</v>
      </c>
      <c r="AT38">
        <v>135</v>
      </c>
      <c r="AU38">
        <v>81</v>
      </c>
      <c r="AV38">
        <v>1</v>
      </c>
      <c r="AW38">
        <v>1</v>
      </c>
      <c r="AZ38">
        <v>1</v>
      </c>
      <c r="BA38">
        <f>'1.Лок.смета.и.Акт'!J82</f>
        <v>38</v>
      </c>
      <c r="BB38">
        <f>'1.Лок.смета.и.Акт'!J83</f>
        <v>9.3000000000000007</v>
      </c>
      <c r="BC38">
        <v>7.56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1</v>
      </c>
      <c r="BJ38" t="s">
        <v>61</v>
      </c>
      <c r="BM38">
        <v>27001</v>
      </c>
      <c r="BN38">
        <v>0</v>
      </c>
      <c r="BO38" t="s">
        <v>58</v>
      </c>
      <c r="BP38">
        <v>1</v>
      </c>
      <c r="BQ38">
        <v>1</v>
      </c>
      <c r="BR38">
        <v>0</v>
      </c>
      <c r="BS38">
        <f>'1.Лок.смета.и.Акт'!J84</f>
        <v>19.8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 t="e">
        <f>'ТЗ '!#REF!</f>
        <v>#REF!</v>
      </c>
      <c r="CA38" t="e">
        <f>'ТЗ '!#REF!</f>
        <v>#REF!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3"/>
        <v>2944</v>
      </c>
      <c r="CQ38">
        <f t="shared" si="34"/>
        <v>0</v>
      </c>
      <c r="CR38">
        <f t="shared" si="35"/>
        <v>47420.607000000004</v>
      </c>
      <c r="CS38">
        <f t="shared" si="36"/>
        <v>10179.576000000001</v>
      </c>
      <c r="CT38">
        <f t="shared" si="37"/>
        <v>132045.06</v>
      </c>
      <c r="CU38">
        <f t="shared" si="38"/>
        <v>0</v>
      </c>
      <c r="CV38" t="e">
        <f t="shared" si="39"/>
        <v>#REF!</v>
      </c>
      <c r="CW38">
        <f t="shared" si="40"/>
        <v>39.700000000000003</v>
      </c>
      <c r="CX38">
        <f t="shared" si="41"/>
        <v>0</v>
      </c>
      <c r="CY38" t="e">
        <f>(S38+R38)*(BZ38/100)</f>
        <v>#REF!</v>
      </c>
      <c r="CZ38" t="e">
        <f>(S38+R38)*(CA38/100)</f>
        <v>#REF!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f>'1.Лок.смета.и.Акт'!E85</f>
        <v>142</v>
      </c>
      <c r="DO38">
        <f>'1.Лок.смета.и.Акт'!E86</f>
        <v>95</v>
      </c>
      <c r="DP38">
        <v>1</v>
      </c>
      <c r="DQ38">
        <v>1</v>
      </c>
      <c r="DU38">
        <v>1013</v>
      </c>
      <c r="DV38" t="s">
        <v>60</v>
      </c>
      <c r="DW38" t="str">
        <f>'ТЗ '!D21</f>
        <v>1 т стоек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66511559</v>
      </c>
      <c r="EF38">
        <v>1</v>
      </c>
      <c r="EG38" t="s">
        <v>27</v>
      </c>
      <c r="EH38">
        <v>0</v>
      </c>
      <c r="EI38" t="s">
        <v>3</v>
      </c>
      <c r="EJ38">
        <v>1</v>
      </c>
      <c r="EK38">
        <v>27001</v>
      </c>
      <c r="EL38" t="s">
        <v>28</v>
      </c>
      <c r="EM38" t="s">
        <v>29</v>
      </c>
      <c r="EO38" t="s">
        <v>3</v>
      </c>
      <c r="EQ38">
        <v>131072</v>
      </c>
      <c r="ER38">
        <f>ES38+ET38+EV38</f>
        <v>24538.39</v>
      </c>
      <c r="ES38">
        <v>15964.53</v>
      </c>
      <c r="ET38" s="79">
        <f>'1.Лок.смета.и.Акт'!F83</f>
        <v>5098.99</v>
      </c>
      <c r="EU38" s="79">
        <f>'1.Лок.смета.и.Акт'!F84</f>
        <v>514.12</v>
      </c>
      <c r="EV38" s="79">
        <f>'1.Лок.смета.и.Акт'!F82</f>
        <v>3474.87</v>
      </c>
      <c r="EW38" t="e">
        <f>'ТЗ '!#REF!</f>
        <v>#REF!</v>
      </c>
      <c r="EX38">
        <v>39.700000000000003</v>
      </c>
      <c r="EY38">
        <v>1</v>
      </c>
      <c r="FQ38">
        <v>0</v>
      </c>
      <c r="FR38">
        <f t="shared" si="42"/>
        <v>0</v>
      </c>
      <c r="FS38">
        <v>0</v>
      </c>
      <c r="FX38">
        <v>142</v>
      </c>
      <c r="FY38">
        <v>95</v>
      </c>
      <c r="GA38" t="s">
        <v>3</v>
      </c>
      <c r="GD38">
        <v>1</v>
      </c>
      <c r="GF38">
        <v>1824129702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43"/>
        <v>0</v>
      </c>
      <c r="GM38" t="e">
        <f t="shared" si="44"/>
        <v>#REF!</v>
      </c>
      <c r="GN38" t="e">
        <f t="shared" si="45"/>
        <v>#REF!</v>
      </c>
      <c r="GO38">
        <f t="shared" si="46"/>
        <v>0</v>
      </c>
      <c r="GP38">
        <f t="shared" si="47"/>
        <v>0</v>
      </c>
      <c r="GR38">
        <v>0</v>
      </c>
      <c r="GS38">
        <v>3</v>
      </c>
      <c r="GT38">
        <v>0</v>
      </c>
      <c r="GU38" t="s">
        <v>3</v>
      </c>
      <c r="GV38">
        <f t="shared" si="48"/>
        <v>0</v>
      </c>
      <c r="GW38">
        <v>1010.5</v>
      </c>
      <c r="GX38">
        <f t="shared" si="49"/>
        <v>0</v>
      </c>
      <c r="HA38">
        <v>0</v>
      </c>
      <c r="HB38">
        <v>0</v>
      </c>
      <c r="HC38">
        <f t="shared" si="50"/>
        <v>0</v>
      </c>
      <c r="HE38" t="s">
        <v>3</v>
      </c>
      <c r="HF38" t="s">
        <v>3</v>
      </c>
      <c r="HM38" t="s">
        <v>3</v>
      </c>
      <c r="HN38" t="s">
        <v>3</v>
      </c>
      <c r="HO38" t="s">
        <v>3</v>
      </c>
      <c r="HP38" t="s">
        <v>3</v>
      </c>
      <c r="HQ38" t="s">
        <v>3</v>
      </c>
      <c r="IF38">
        <v>-1</v>
      </c>
      <c r="IK38">
        <v>0</v>
      </c>
      <c r="IL38" t="s">
        <v>298</v>
      </c>
      <c r="IM38">
        <v>1.6400000000000001E-2</v>
      </c>
    </row>
    <row r="39" spans="1:255" x14ac:dyDescent="0.2">
      <c r="A39" s="2">
        <v>18</v>
      </c>
      <c r="B39" s="2">
        <v>1</v>
      </c>
      <c r="C39" s="2">
        <v>31</v>
      </c>
      <c r="D39" s="2"/>
      <c r="E39" s="2" t="s">
        <v>39</v>
      </c>
      <c r="F39" s="2" t="s">
        <v>62</v>
      </c>
      <c r="G39" s="2" t="s">
        <v>63</v>
      </c>
      <c r="H39" s="2" t="s">
        <v>33</v>
      </c>
      <c r="I39" s="2">
        <f>I37*J39</f>
        <v>1.5E-5</v>
      </c>
      <c r="J39" s="2">
        <v>9.1463414634146336E-4</v>
      </c>
      <c r="K39" s="2">
        <v>9.3999999999999997E-4</v>
      </c>
      <c r="L39" s="2"/>
      <c r="M39" s="2"/>
      <c r="N39" s="2"/>
      <c r="O39" s="2">
        <f t="shared" si="14"/>
        <v>0</v>
      </c>
      <c r="P39" s="2">
        <f t="shared" si="15"/>
        <v>0</v>
      </c>
      <c r="Q39" s="2">
        <f t="shared" si="16"/>
        <v>0</v>
      </c>
      <c r="R39" s="2">
        <f t="shared" si="17"/>
        <v>0</v>
      </c>
      <c r="S39" s="2">
        <f t="shared" si="18"/>
        <v>0</v>
      </c>
      <c r="T39" s="2">
        <f t="shared" si="19"/>
        <v>0</v>
      </c>
      <c r="U39" s="2">
        <f t="shared" si="20"/>
        <v>0</v>
      </c>
      <c r="V39" s="2">
        <f t="shared" si="21"/>
        <v>0</v>
      </c>
      <c r="W39" s="2">
        <f t="shared" si="22"/>
        <v>0</v>
      </c>
      <c r="X39" s="2">
        <f t="shared" si="23"/>
        <v>0</v>
      </c>
      <c r="Y39" s="2">
        <f t="shared" si="24"/>
        <v>0</v>
      </c>
      <c r="Z39" s="2"/>
      <c r="AA39" s="2">
        <v>71570243</v>
      </c>
      <c r="AB39" s="2">
        <f t="shared" si="25"/>
        <v>15801.24</v>
      </c>
      <c r="AC39" s="2">
        <f t="shared" ref="AC39:AC46" si="51">ROUND((ES39),2)</f>
        <v>15801.24</v>
      </c>
      <c r="AD39" s="2">
        <f t="shared" si="26"/>
        <v>0</v>
      </c>
      <c r="AE39" s="2">
        <f t="shared" si="27"/>
        <v>0</v>
      </c>
      <c r="AF39" s="2">
        <f t="shared" si="28"/>
        <v>0</v>
      </c>
      <c r="AG39" s="2">
        <f t="shared" si="29"/>
        <v>0</v>
      </c>
      <c r="AH39" s="2">
        <f t="shared" si="30"/>
        <v>0</v>
      </c>
      <c r="AI39" s="2">
        <f t="shared" si="31"/>
        <v>0</v>
      </c>
      <c r="AJ39" s="2">
        <f t="shared" si="32"/>
        <v>87.59</v>
      </c>
      <c r="AK39" s="2">
        <v>15801.24</v>
      </c>
      <c r="AL39" s="103">
        <f>'1.Лок.смета.и.Акт'!F88</f>
        <v>15801.24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87.59</v>
      </c>
      <c r="AT39" s="2">
        <v>0</v>
      </c>
      <c r="AU39" s="2">
        <v>0</v>
      </c>
      <c r="AV39" s="2">
        <v>1</v>
      </c>
      <c r="AW39" s="2">
        <v>1</v>
      </c>
      <c r="AX39" s="2"/>
      <c r="AY39" s="2"/>
      <c r="AZ39" s="2">
        <v>1</v>
      </c>
      <c r="BA39" s="2">
        <v>1</v>
      </c>
      <c r="BB39" s="2">
        <v>1</v>
      </c>
      <c r="BC39" s="2">
        <v>1</v>
      </c>
      <c r="BD39" s="2" t="s">
        <v>3</v>
      </c>
      <c r="BE39" s="2" t="s">
        <v>3</v>
      </c>
      <c r="BF39" s="2" t="s">
        <v>3</v>
      </c>
      <c r="BG39" s="2" t="s">
        <v>3</v>
      </c>
      <c r="BH39" s="2">
        <v>3</v>
      </c>
      <c r="BI39" s="2">
        <v>1</v>
      </c>
      <c r="BJ39" s="2" t="s">
        <v>64</v>
      </c>
      <c r="BK39" s="2"/>
      <c r="BL39" s="2"/>
      <c r="BM39" s="2">
        <v>500001</v>
      </c>
      <c r="BN39" s="2">
        <v>0</v>
      </c>
      <c r="BO39" s="2" t="s">
        <v>3</v>
      </c>
      <c r="BP39" s="2">
        <v>0</v>
      </c>
      <c r="BQ39" s="2">
        <v>20</v>
      </c>
      <c r="BR39" s="2">
        <v>0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1</v>
      </c>
      <c r="BY39" s="2" t="s">
        <v>3</v>
      </c>
      <c r="BZ39" s="2">
        <v>0</v>
      </c>
      <c r="CA39" s="2">
        <v>0</v>
      </c>
      <c r="CB39" s="2" t="s">
        <v>3</v>
      </c>
      <c r="CC39" s="2"/>
      <c r="CD39" s="2"/>
      <c r="CE39" s="2">
        <v>0</v>
      </c>
      <c r="CF39" s="2">
        <v>0</v>
      </c>
      <c r="CG39" s="2">
        <v>0</v>
      </c>
      <c r="CH39" s="2"/>
      <c r="CI39" s="2"/>
      <c r="CJ39" s="2"/>
      <c r="CK39" s="2"/>
      <c r="CL39" s="2"/>
      <c r="CM39" s="2">
        <v>0</v>
      </c>
      <c r="CN39" s="2" t="s">
        <v>3</v>
      </c>
      <c r="CO39" s="2">
        <v>0</v>
      </c>
      <c r="CP39" s="2">
        <f t="shared" si="33"/>
        <v>0</v>
      </c>
      <c r="CQ39" s="2">
        <f t="shared" si="34"/>
        <v>15801.24</v>
      </c>
      <c r="CR39" s="2">
        <f t="shared" si="35"/>
        <v>0</v>
      </c>
      <c r="CS39" s="2">
        <f t="shared" si="36"/>
        <v>0</v>
      </c>
      <c r="CT39" s="2">
        <f t="shared" si="37"/>
        <v>0</v>
      </c>
      <c r="CU39" s="2">
        <f t="shared" si="38"/>
        <v>0</v>
      </c>
      <c r="CV39" s="2">
        <f t="shared" si="39"/>
        <v>0</v>
      </c>
      <c r="CW39" s="2">
        <f t="shared" si="40"/>
        <v>0</v>
      </c>
      <c r="CX39" s="2">
        <f t="shared" si="41"/>
        <v>87.59</v>
      </c>
      <c r="CY39" s="2">
        <f>(((S39+(R39*IF(0,0,1)))*AT39)/100)</f>
        <v>0</v>
      </c>
      <c r="CZ39" s="2">
        <f>(((S39+(R39*IF(0,0,1)))*AU39)/100)</f>
        <v>0</v>
      </c>
      <c r="DA39" s="2"/>
      <c r="DB39" s="2"/>
      <c r="DC39" s="2" t="s">
        <v>3</v>
      </c>
      <c r="DD39" s="2" t="s">
        <v>3</v>
      </c>
      <c r="DE39" s="2" t="s">
        <v>3</v>
      </c>
      <c r="DF39" s="2" t="s">
        <v>3</v>
      </c>
      <c r="DG39" s="2" t="s">
        <v>3</v>
      </c>
      <c r="DH39" s="2" t="s">
        <v>3</v>
      </c>
      <c r="DI39" s="2" t="s">
        <v>3</v>
      </c>
      <c r="DJ39" s="2" t="s">
        <v>3</v>
      </c>
      <c r="DK39" s="2" t="s">
        <v>3</v>
      </c>
      <c r="DL39" s="2" t="s">
        <v>3</v>
      </c>
      <c r="DM39" s="2" t="s">
        <v>3</v>
      </c>
      <c r="DN39" s="2">
        <v>0</v>
      </c>
      <c r="DO39" s="2">
        <v>0</v>
      </c>
      <c r="DP39" s="2">
        <v>1</v>
      </c>
      <c r="DQ39" s="2">
        <v>1</v>
      </c>
      <c r="DR39" s="2"/>
      <c r="DS39" s="2"/>
      <c r="DT39" s="2"/>
      <c r="DU39" s="2">
        <v>1009</v>
      </c>
      <c r="DV39" s="2" t="s">
        <v>33</v>
      </c>
      <c r="DW39" s="2" t="s">
        <v>33</v>
      </c>
      <c r="DX39" s="2">
        <v>1000</v>
      </c>
      <c r="DY39" s="2"/>
      <c r="DZ39" s="2" t="s">
        <v>3</v>
      </c>
      <c r="EA39" s="2" t="s">
        <v>3</v>
      </c>
      <c r="EB39" s="2" t="s">
        <v>3</v>
      </c>
      <c r="EC39" s="2" t="s">
        <v>3</v>
      </c>
      <c r="ED39" s="2"/>
      <c r="EE39" s="2">
        <v>66511700</v>
      </c>
      <c r="EF39" s="2">
        <v>20</v>
      </c>
      <c r="EG39" s="2" t="s">
        <v>35</v>
      </c>
      <c r="EH39" s="2">
        <v>0</v>
      </c>
      <c r="EI39" s="2" t="s">
        <v>3</v>
      </c>
      <c r="EJ39" s="2">
        <v>1</v>
      </c>
      <c r="EK39" s="2">
        <v>500001</v>
      </c>
      <c r="EL39" s="2" t="s">
        <v>36</v>
      </c>
      <c r="EM39" s="2" t="s">
        <v>37</v>
      </c>
      <c r="EN39" s="2"/>
      <c r="EO39" s="2" t="s">
        <v>3</v>
      </c>
      <c r="EP39" s="2"/>
      <c r="EQ39" s="2">
        <v>0</v>
      </c>
      <c r="ER39" s="2">
        <v>15801.24</v>
      </c>
      <c r="ES39" s="103">
        <f>'1.Лок.смета.и.Акт'!F88</f>
        <v>15801.24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>
        <v>0</v>
      </c>
      <c r="FR39" s="2">
        <f t="shared" si="42"/>
        <v>0</v>
      </c>
      <c r="FS39" s="2">
        <v>0</v>
      </c>
      <c r="FT39" s="2"/>
      <c r="FU39" s="2"/>
      <c r="FV39" s="2"/>
      <c r="FW39" s="2"/>
      <c r="FX39" s="2">
        <v>0</v>
      </c>
      <c r="FY39" s="2">
        <v>0</v>
      </c>
      <c r="FZ39" s="2"/>
      <c r="GA39" s="2" t="s">
        <v>3</v>
      </c>
      <c r="GB39" s="2"/>
      <c r="GC39" s="2"/>
      <c r="GD39" s="2">
        <v>1</v>
      </c>
      <c r="GE39" s="2"/>
      <c r="GF39" s="2">
        <v>1831784314</v>
      </c>
      <c r="GG39" s="2">
        <v>2</v>
      </c>
      <c r="GH39" s="2">
        <v>1</v>
      </c>
      <c r="GI39" s="2">
        <v>-2</v>
      </c>
      <c r="GJ39" s="2">
        <v>0</v>
      </c>
      <c r="GK39" s="2">
        <v>0</v>
      </c>
      <c r="GL39" s="2">
        <f t="shared" si="43"/>
        <v>0</v>
      </c>
      <c r="GM39" s="2">
        <f t="shared" si="44"/>
        <v>0</v>
      </c>
      <c r="GN39" s="2">
        <f t="shared" si="45"/>
        <v>0</v>
      </c>
      <c r="GO39" s="2">
        <f t="shared" si="46"/>
        <v>0</v>
      </c>
      <c r="GP39" s="2">
        <f t="shared" si="47"/>
        <v>0</v>
      </c>
      <c r="GQ39" s="2"/>
      <c r="GR39" s="2">
        <v>0</v>
      </c>
      <c r="GS39" s="2">
        <v>3</v>
      </c>
      <c r="GT39" s="2">
        <v>0</v>
      </c>
      <c r="GU39" s="2" t="s">
        <v>3</v>
      </c>
      <c r="GV39" s="2">
        <f t="shared" si="48"/>
        <v>0</v>
      </c>
      <c r="GW39" s="2">
        <v>1</v>
      </c>
      <c r="GX39" s="2">
        <f t="shared" si="49"/>
        <v>0</v>
      </c>
      <c r="GY39" s="2"/>
      <c r="GZ39" s="2"/>
      <c r="HA39" s="2">
        <v>0</v>
      </c>
      <c r="HB39" s="2">
        <v>0</v>
      </c>
      <c r="HC39" s="2">
        <f t="shared" si="50"/>
        <v>0</v>
      </c>
      <c r="HD39" s="2"/>
      <c r="HE39" s="2" t="s">
        <v>3</v>
      </c>
      <c r="HF39" s="2" t="s">
        <v>3</v>
      </c>
      <c r="HG39" s="2"/>
      <c r="HH39" s="2"/>
      <c r="HI39" s="2"/>
      <c r="HJ39" s="2"/>
      <c r="HK39" s="2"/>
      <c r="HL39" s="2"/>
      <c r="HM39" s="2" t="s">
        <v>3</v>
      </c>
      <c r="HN39" s="2" t="s">
        <v>3</v>
      </c>
      <c r="HO39" s="2" t="s">
        <v>3</v>
      </c>
      <c r="HP39" s="2" t="s">
        <v>3</v>
      </c>
      <c r="HQ39" s="2" t="s">
        <v>3</v>
      </c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>
        <v>-1</v>
      </c>
      <c r="IG39" s="2"/>
      <c r="IH39" s="2"/>
      <c r="II39" s="2"/>
      <c r="IJ39" s="2"/>
      <c r="IK39" s="2">
        <v>0</v>
      </c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1:255" x14ac:dyDescent="0.2">
      <c r="A40">
        <v>18</v>
      </c>
      <c r="B40">
        <v>1</v>
      </c>
      <c r="C40">
        <v>41</v>
      </c>
      <c r="E40" t="s">
        <v>39</v>
      </c>
      <c r="F40" t="e">
        <f>'ТЗ '!#REF!</f>
        <v>#REF!</v>
      </c>
      <c r="G40" t="s">
        <v>63</v>
      </c>
      <c r="H40" t="s">
        <v>33</v>
      </c>
      <c r="I40">
        <f>I38*J40</f>
        <v>1.5E-5</v>
      </c>
      <c r="J40" s="211">
        <f>'5.Ведомость_списания'!F34</f>
        <v>9.1463414634146336E-4</v>
      </c>
      <c r="K40">
        <v>9.3999999999999997E-4</v>
      </c>
      <c r="O40">
        <f t="shared" si="14"/>
        <v>1</v>
      </c>
      <c r="P40">
        <f t="shared" si="15"/>
        <v>1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0</v>
      </c>
      <c r="W40">
        <f t="shared" si="22"/>
        <v>0</v>
      </c>
      <c r="X40">
        <f t="shared" si="23"/>
        <v>0</v>
      </c>
      <c r="Y40">
        <f t="shared" si="24"/>
        <v>0</v>
      </c>
      <c r="AA40">
        <v>71570244</v>
      </c>
      <c r="AB40">
        <f t="shared" si="25"/>
        <v>11297.97</v>
      </c>
      <c r="AC40">
        <f t="shared" si="51"/>
        <v>11297.97</v>
      </c>
      <c r="AD40">
        <f t="shared" si="26"/>
        <v>0</v>
      </c>
      <c r="AE40">
        <f t="shared" si="27"/>
        <v>0</v>
      </c>
      <c r="AF40">
        <f t="shared" si="28"/>
        <v>0</v>
      </c>
      <c r="AG40">
        <f t="shared" si="29"/>
        <v>0</v>
      </c>
      <c r="AH40">
        <f t="shared" si="30"/>
        <v>0</v>
      </c>
      <c r="AI40">
        <f t="shared" si="31"/>
        <v>0</v>
      </c>
      <c r="AJ40">
        <f t="shared" si="32"/>
        <v>87.59</v>
      </c>
      <c r="AK40">
        <v>11297.97</v>
      </c>
      <c r="AL40">
        <v>11297.97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87.59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7.56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1</v>
      </c>
      <c r="BJ40" t="s">
        <v>64</v>
      </c>
      <c r="BM40">
        <v>500001</v>
      </c>
      <c r="BN40">
        <v>0</v>
      </c>
      <c r="BO40" t="s">
        <v>3</v>
      </c>
      <c r="BP40">
        <v>0</v>
      </c>
      <c r="BQ40">
        <v>20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3"/>
        <v>1</v>
      </c>
      <c r="CQ40">
        <f t="shared" si="34"/>
        <v>85412.653199999986</v>
      </c>
      <c r="CR40">
        <f t="shared" si="35"/>
        <v>0</v>
      </c>
      <c r="CS40">
        <f t="shared" si="36"/>
        <v>0</v>
      </c>
      <c r="CT40">
        <f t="shared" si="37"/>
        <v>0</v>
      </c>
      <c r="CU40">
        <f t="shared" si="38"/>
        <v>0</v>
      </c>
      <c r="CV40">
        <f t="shared" si="39"/>
        <v>0</v>
      </c>
      <c r="CW40">
        <f t="shared" si="40"/>
        <v>0</v>
      </c>
      <c r="CX40">
        <f t="shared" si="41"/>
        <v>87.59</v>
      </c>
      <c r="CY40">
        <f>(S40+R40)*(BZ40/100)</f>
        <v>0</v>
      </c>
      <c r="CZ40">
        <f>(S40+R40)*(CA40/100)</f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1009</v>
      </c>
      <c r="DV40" t="s">
        <v>33</v>
      </c>
      <c r="DW40" t="e">
        <f>'ТЗ '!#REF!</f>
        <v>#REF!</v>
      </c>
      <c r="DX40">
        <v>1000</v>
      </c>
      <c r="DZ40" t="s">
        <v>3</v>
      </c>
      <c r="EA40" t="s">
        <v>3</v>
      </c>
      <c r="EB40" t="s">
        <v>3</v>
      </c>
      <c r="EC40" t="s">
        <v>3</v>
      </c>
      <c r="EE40">
        <v>66511700</v>
      </c>
      <c r="EF40">
        <v>20</v>
      </c>
      <c r="EG40" t="s">
        <v>35</v>
      </c>
      <c r="EH40">
        <v>0</v>
      </c>
      <c r="EI40" t="s">
        <v>3</v>
      </c>
      <c r="EJ40">
        <v>1</v>
      </c>
      <c r="EK40">
        <v>500001</v>
      </c>
      <c r="EL40" t="s">
        <v>36</v>
      </c>
      <c r="EM40" t="s">
        <v>37</v>
      </c>
      <c r="EO40" t="s">
        <v>3</v>
      </c>
      <c r="EQ40">
        <v>0</v>
      </c>
      <c r="ER40">
        <v>81220</v>
      </c>
      <c r="ES40">
        <v>11297.97</v>
      </c>
      <c r="ET40">
        <v>0</v>
      </c>
      <c r="EU40">
        <v>0</v>
      </c>
      <c r="EV40">
        <v>0</v>
      </c>
      <c r="EW40">
        <v>0</v>
      </c>
      <c r="EX40">
        <v>0</v>
      </c>
      <c r="EZ40">
        <v>5</v>
      </c>
      <c r="FC40">
        <v>0</v>
      </c>
      <c r="FD40">
        <v>18</v>
      </c>
      <c r="FF40">
        <v>81220</v>
      </c>
      <c r="FQ40">
        <v>0</v>
      </c>
      <c r="FR40">
        <f t="shared" si="42"/>
        <v>0</v>
      </c>
      <c r="FS40">
        <v>0</v>
      </c>
      <c r="FX40">
        <v>0</v>
      </c>
      <c r="FY40">
        <v>0</v>
      </c>
      <c r="GA40" t="s">
        <v>65</v>
      </c>
      <c r="GD40">
        <v>1</v>
      </c>
      <c r="GF40">
        <v>1831784314</v>
      </c>
      <c r="GG40">
        <v>2</v>
      </c>
      <c r="GH40">
        <v>3</v>
      </c>
      <c r="GI40">
        <v>5</v>
      </c>
      <c r="GJ40">
        <v>0</v>
      </c>
      <c r="GK40">
        <v>0</v>
      </c>
      <c r="GL40">
        <f t="shared" si="43"/>
        <v>0</v>
      </c>
      <c r="GM40">
        <f t="shared" si="44"/>
        <v>1</v>
      </c>
      <c r="GN40">
        <f t="shared" si="45"/>
        <v>1</v>
      </c>
      <c r="GO40">
        <f t="shared" si="46"/>
        <v>0</v>
      </c>
      <c r="GP40">
        <f t="shared" si="47"/>
        <v>0</v>
      </c>
      <c r="GR40">
        <v>1</v>
      </c>
      <c r="GS40">
        <v>1</v>
      </c>
      <c r="GT40">
        <v>0</v>
      </c>
      <c r="GU40" t="s">
        <v>3</v>
      </c>
      <c r="GV40">
        <f t="shared" si="48"/>
        <v>0</v>
      </c>
      <c r="GW40">
        <v>1</v>
      </c>
      <c r="GX40">
        <f t="shared" si="49"/>
        <v>0</v>
      </c>
      <c r="HA40">
        <v>0</v>
      </c>
      <c r="HB40">
        <v>0</v>
      </c>
      <c r="HC40">
        <f t="shared" si="50"/>
        <v>0</v>
      </c>
      <c r="HE40" t="s">
        <v>39</v>
      </c>
      <c r="HF40" t="s">
        <v>40</v>
      </c>
      <c r="HM40" t="s">
        <v>3</v>
      </c>
      <c r="HN40" t="s">
        <v>3</v>
      </c>
      <c r="HO40" t="s">
        <v>3</v>
      </c>
      <c r="HP40" t="s">
        <v>3</v>
      </c>
      <c r="HQ40" t="s">
        <v>3</v>
      </c>
      <c r="IF40">
        <v>-1</v>
      </c>
      <c r="IK40">
        <v>0</v>
      </c>
    </row>
    <row r="41" spans="1:255" x14ac:dyDescent="0.2">
      <c r="A41" s="2">
        <v>18</v>
      </c>
      <c r="B41" s="2">
        <v>1</v>
      </c>
      <c r="C41" s="2">
        <v>33</v>
      </c>
      <c r="D41" s="2"/>
      <c r="E41" s="2" t="s">
        <v>66</v>
      </c>
      <c r="F41" s="2" t="s">
        <v>67</v>
      </c>
      <c r="G41" s="2" t="s">
        <v>68</v>
      </c>
      <c r="H41" s="2" t="s">
        <v>69</v>
      </c>
      <c r="I41" s="2">
        <f>I37*J41</f>
        <v>2</v>
      </c>
      <c r="J41" s="2">
        <v>121.95121951219511</v>
      </c>
      <c r="K41" s="2">
        <v>121.95122000000001</v>
      </c>
      <c r="L41" s="2"/>
      <c r="M41" s="2"/>
      <c r="N41" s="2"/>
      <c r="O41" s="2">
        <f t="shared" si="14"/>
        <v>571</v>
      </c>
      <c r="P41" s="2">
        <f t="shared" si="15"/>
        <v>571</v>
      </c>
      <c r="Q41" s="2">
        <f t="shared" si="16"/>
        <v>0</v>
      </c>
      <c r="R41" s="2">
        <f t="shared" si="17"/>
        <v>0</v>
      </c>
      <c r="S41" s="2">
        <f t="shared" si="18"/>
        <v>0</v>
      </c>
      <c r="T41" s="2">
        <f t="shared" si="19"/>
        <v>0</v>
      </c>
      <c r="U41" s="2">
        <f t="shared" si="20"/>
        <v>0</v>
      </c>
      <c r="V41" s="2">
        <f t="shared" si="21"/>
        <v>0</v>
      </c>
      <c r="W41" s="2">
        <f t="shared" si="22"/>
        <v>8</v>
      </c>
      <c r="X41" s="2">
        <f t="shared" si="23"/>
        <v>0</v>
      </c>
      <c r="Y41" s="2">
        <f t="shared" si="24"/>
        <v>0</v>
      </c>
      <c r="Z41" s="2"/>
      <c r="AA41" s="2">
        <v>71570243</v>
      </c>
      <c r="AB41" s="2">
        <f t="shared" si="25"/>
        <v>285.57</v>
      </c>
      <c r="AC41" s="2">
        <f t="shared" si="51"/>
        <v>285.57</v>
      </c>
      <c r="AD41" s="2">
        <f t="shared" si="26"/>
        <v>0</v>
      </c>
      <c r="AE41" s="2">
        <f t="shared" si="27"/>
        <v>0</v>
      </c>
      <c r="AF41" s="2">
        <f t="shared" si="28"/>
        <v>0</v>
      </c>
      <c r="AG41" s="2">
        <f t="shared" si="29"/>
        <v>0</v>
      </c>
      <c r="AH41" s="2">
        <f t="shared" si="30"/>
        <v>0</v>
      </c>
      <c r="AI41" s="2">
        <f t="shared" si="31"/>
        <v>0</v>
      </c>
      <c r="AJ41" s="2">
        <f t="shared" si="32"/>
        <v>3.84</v>
      </c>
      <c r="AK41" s="2">
        <v>285.57</v>
      </c>
      <c r="AL41" s="103">
        <f>'1.Лок.смета.и.Акт'!F90</f>
        <v>285.57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3.84</v>
      </c>
      <c r="AT41" s="2">
        <v>0</v>
      </c>
      <c r="AU41" s="2">
        <v>0</v>
      </c>
      <c r="AV41" s="2">
        <v>1</v>
      </c>
      <c r="AW41" s="2">
        <v>1</v>
      </c>
      <c r="AX41" s="2"/>
      <c r="AY41" s="2"/>
      <c r="AZ41" s="2">
        <v>1</v>
      </c>
      <c r="BA41" s="2">
        <v>1</v>
      </c>
      <c r="BB41" s="2">
        <v>1</v>
      </c>
      <c r="BC41" s="2">
        <v>1</v>
      </c>
      <c r="BD41" s="2" t="s">
        <v>3</v>
      </c>
      <c r="BE41" s="2" t="s">
        <v>3</v>
      </c>
      <c r="BF41" s="2" t="s">
        <v>3</v>
      </c>
      <c r="BG41" s="2" t="s">
        <v>3</v>
      </c>
      <c r="BH41" s="2">
        <v>3</v>
      </c>
      <c r="BI41" s="2">
        <v>1</v>
      </c>
      <c r="BJ41" s="2" t="s">
        <v>70</v>
      </c>
      <c r="BK41" s="2"/>
      <c r="BL41" s="2"/>
      <c r="BM41" s="2">
        <v>500001</v>
      </c>
      <c r="BN41" s="2">
        <v>0</v>
      </c>
      <c r="BO41" s="2" t="s">
        <v>3</v>
      </c>
      <c r="BP41" s="2">
        <v>0</v>
      </c>
      <c r="BQ41" s="2">
        <v>20</v>
      </c>
      <c r="BR41" s="2">
        <v>0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 t="s">
        <v>3</v>
      </c>
      <c r="BZ41" s="2">
        <v>0</v>
      </c>
      <c r="CA41" s="2">
        <v>0</v>
      </c>
      <c r="CB41" s="2" t="s">
        <v>3</v>
      </c>
      <c r="CC41" s="2"/>
      <c r="CD41" s="2"/>
      <c r="CE41" s="2">
        <v>0</v>
      </c>
      <c r="CF41" s="2">
        <v>0</v>
      </c>
      <c r="CG41" s="2">
        <v>0</v>
      </c>
      <c r="CH41" s="2"/>
      <c r="CI41" s="2"/>
      <c r="CJ41" s="2"/>
      <c r="CK41" s="2"/>
      <c r="CL41" s="2"/>
      <c r="CM41" s="2">
        <v>0</v>
      </c>
      <c r="CN41" s="2" t="s">
        <v>3</v>
      </c>
      <c r="CO41" s="2">
        <v>0</v>
      </c>
      <c r="CP41" s="2">
        <f t="shared" si="33"/>
        <v>571</v>
      </c>
      <c r="CQ41" s="2">
        <f t="shared" si="34"/>
        <v>285.57</v>
      </c>
      <c r="CR41" s="2">
        <f t="shared" si="35"/>
        <v>0</v>
      </c>
      <c r="CS41" s="2">
        <f t="shared" si="36"/>
        <v>0</v>
      </c>
      <c r="CT41" s="2">
        <f t="shared" si="37"/>
        <v>0</v>
      </c>
      <c r="CU41" s="2">
        <f t="shared" si="38"/>
        <v>0</v>
      </c>
      <c r="CV41" s="2">
        <f t="shared" si="39"/>
        <v>0</v>
      </c>
      <c r="CW41" s="2">
        <f t="shared" si="40"/>
        <v>0</v>
      </c>
      <c r="CX41" s="2">
        <f t="shared" si="41"/>
        <v>3.84</v>
      </c>
      <c r="CY41" s="2">
        <f>(((S41+(R41*IF(0,0,1)))*AT41)/100)</f>
        <v>0</v>
      </c>
      <c r="CZ41" s="2">
        <f>(((S41+(R41*IF(0,0,1)))*AU41)/100)</f>
        <v>0</v>
      </c>
      <c r="DA41" s="2"/>
      <c r="DB41" s="2"/>
      <c r="DC41" s="2" t="s">
        <v>3</v>
      </c>
      <c r="DD41" s="2" t="s">
        <v>3</v>
      </c>
      <c r="DE41" s="2" t="s">
        <v>3</v>
      </c>
      <c r="DF41" s="2" t="s">
        <v>3</v>
      </c>
      <c r="DG41" s="2" t="s">
        <v>3</v>
      </c>
      <c r="DH41" s="2" t="s">
        <v>3</v>
      </c>
      <c r="DI41" s="2" t="s">
        <v>3</v>
      </c>
      <c r="DJ41" s="2" t="s">
        <v>3</v>
      </c>
      <c r="DK41" s="2" t="s">
        <v>3</v>
      </c>
      <c r="DL41" s="2" t="s">
        <v>3</v>
      </c>
      <c r="DM41" s="2" t="s">
        <v>3</v>
      </c>
      <c r="DN41" s="2">
        <v>0</v>
      </c>
      <c r="DO41" s="2">
        <v>0</v>
      </c>
      <c r="DP41" s="2">
        <v>1</v>
      </c>
      <c r="DQ41" s="2">
        <v>1</v>
      </c>
      <c r="DR41" s="2"/>
      <c r="DS41" s="2"/>
      <c r="DT41" s="2"/>
      <c r="DU41" s="2">
        <v>1010</v>
      </c>
      <c r="DV41" s="2" t="s">
        <v>69</v>
      </c>
      <c r="DW41" s="2" t="s">
        <v>69</v>
      </c>
      <c r="DX41" s="2">
        <v>1</v>
      </c>
      <c r="DY41" s="2"/>
      <c r="DZ41" s="2" t="s">
        <v>3</v>
      </c>
      <c r="EA41" s="2" t="s">
        <v>3</v>
      </c>
      <c r="EB41" s="2" t="s">
        <v>3</v>
      </c>
      <c r="EC41" s="2" t="s">
        <v>3</v>
      </c>
      <c r="ED41" s="2"/>
      <c r="EE41" s="2">
        <v>66511700</v>
      </c>
      <c r="EF41" s="2">
        <v>20</v>
      </c>
      <c r="EG41" s="2" t="s">
        <v>35</v>
      </c>
      <c r="EH41" s="2">
        <v>0</v>
      </c>
      <c r="EI41" s="2" t="s">
        <v>3</v>
      </c>
      <c r="EJ41" s="2">
        <v>1</v>
      </c>
      <c r="EK41" s="2">
        <v>500001</v>
      </c>
      <c r="EL41" s="2" t="s">
        <v>36</v>
      </c>
      <c r="EM41" s="2" t="s">
        <v>37</v>
      </c>
      <c r="EN41" s="2"/>
      <c r="EO41" s="2" t="s">
        <v>3</v>
      </c>
      <c r="EP41" s="2"/>
      <c r="EQ41" s="2">
        <v>0</v>
      </c>
      <c r="ER41" s="2">
        <v>285.57</v>
      </c>
      <c r="ES41" s="103">
        <f>'1.Лок.смета.и.Акт'!F90</f>
        <v>285.57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>
        <v>0</v>
      </c>
      <c r="FR41" s="2">
        <f t="shared" si="42"/>
        <v>0</v>
      </c>
      <c r="FS41" s="2">
        <v>0</v>
      </c>
      <c r="FT41" s="2"/>
      <c r="FU41" s="2"/>
      <c r="FV41" s="2"/>
      <c r="FW41" s="2"/>
      <c r="FX41" s="2">
        <v>0</v>
      </c>
      <c r="FY41" s="2">
        <v>0</v>
      </c>
      <c r="FZ41" s="2"/>
      <c r="GA41" s="2" t="s">
        <v>3</v>
      </c>
      <c r="GB41" s="2"/>
      <c r="GC41" s="2"/>
      <c r="GD41" s="2">
        <v>1</v>
      </c>
      <c r="GE41" s="2"/>
      <c r="GF41" s="2">
        <v>-1860329091</v>
      </c>
      <c r="GG41" s="2">
        <v>2</v>
      </c>
      <c r="GH41" s="2">
        <v>1</v>
      </c>
      <c r="GI41" s="2">
        <v>-2</v>
      </c>
      <c r="GJ41" s="2">
        <v>0</v>
      </c>
      <c r="GK41" s="2">
        <v>0</v>
      </c>
      <c r="GL41" s="2">
        <f t="shared" si="43"/>
        <v>0</v>
      </c>
      <c r="GM41" s="2">
        <f t="shared" si="44"/>
        <v>571</v>
      </c>
      <c r="GN41" s="2">
        <f t="shared" si="45"/>
        <v>571</v>
      </c>
      <c r="GO41" s="2">
        <f t="shared" si="46"/>
        <v>0</v>
      </c>
      <c r="GP41" s="2">
        <f t="shared" si="47"/>
        <v>0</v>
      </c>
      <c r="GQ41" s="2"/>
      <c r="GR41" s="2">
        <v>0</v>
      </c>
      <c r="GS41" s="2">
        <v>3</v>
      </c>
      <c r="GT41" s="2">
        <v>0</v>
      </c>
      <c r="GU41" s="2" t="s">
        <v>3</v>
      </c>
      <c r="GV41" s="2">
        <f t="shared" si="48"/>
        <v>0</v>
      </c>
      <c r="GW41" s="2">
        <v>1</v>
      </c>
      <c r="GX41" s="2">
        <f t="shared" si="49"/>
        <v>0</v>
      </c>
      <c r="GY41" s="2"/>
      <c r="GZ41" s="2"/>
      <c r="HA41" s="2">
        <v>0</v>
      </c>
      <c r="HB41" s="2">
        <v>0</v>
      </c>
      <c r="HC41" s="2">
        <f t="shared" si="50"/>
        <v>0</v>
      </c>
      <c r="HD41" s="2"/>
      <c r="HE41" s="2" t="s">
        <v>3</v>
      </c>
      <c r="HF41" s="2" t="s">
        <v>3</v>
      </c>
      <c r="HG41" s="2"/>
      <c r="HH41" s="2"/>
      <c r="HI41" s="2"/>
      <c r="HJ41" s="2"/>
      <c r="HK41" s="2"/>
      <c r="HL41" s="2"/>
      <c r="HM41" s="2" t="s">
        <v>3</v>
      </c>
      <c r="HN41" s="2" t="s">
        <v>3</v>
      </c>
      <c r="HO41" s="2" t="s">
        <v>3</v>
      </c>
      <c r="HP41" s="2" t="s">
        <v>3</v>
      </c>
      <c r="HQ41" s="2" t="s">
        <v>3</v>
      </c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>
        <v>-1</v>
      </c>
      <c r="IG41" s="2"/>
      <c r="IH41" s="2"/>
      <c r="II41" s="2"/>
      <c r="IJ41" s="2"/>
      <c r="IK41" s="2">
        <v>0</v>
      </c>
      <c r="IL41" s="2"/>
      <c r="IM41" s="2"/>
      <c r="IN41" s="2"/>
      <c r="IO41" s="2"/>
      <c r="IP41" s="2"/>
      <c r="IQ41" s="2"/>
      <c r="IR41" s="2"/>
      <c r="IS41" s="2"/>
      <c r="IT41" s="2"/>
      <c r="IU41" s="2"/>
    </row>
    <row r="42" spans="1:255" x14ac:dyDescent="0.2">
      <c r="A42">
        <v>18</v>
      </c>
      <c r="B42">
        <v>1</v>
      </c>
      <c r="C42">
        <v>43</v>
      </c>
      <c r="E42" t="s">
        <v>66</v>
      </c>
      <c r="F42" t="e">
        <f>'ТЗ '!#REF!</f>
        <v>#REF!</v>
      </c>
      <c r="G42" t="s">
        <v>68</v>
      </c>
      <c r="H42" t="s">
        <v>69</v>
      </c>
      <c r="I42">
        <f>I38*J42</f>
        <v>2</v>
      </c>
      <c r="J42" s="211">
        <f>'5.Ведомость_списания'!F35</f>
        <v>121.95121951219511</v>
      </c>
      <c r="K42">
        <v>121.95122000000001</v>
      </c>
      <c r="O42">
        <f t="shared" si="14"/>
        <v>3628</v>
      </c>
      <c r="P42">
        <f t="shared" si="15"/>
        <v>3628</v>
      </c>
      <c r="Q42">
        <f t="shared" si="16"/>
        <v>0</v>
      </c>
      <c r="R42">
        <f t="shared" si="17"/>
        <v>0</v>
      </c>
      <c r="S42">
        <f t="shared" si="18"/>
        <v>0</v>
      </c>
      <c r="T42">
        <f t="shared" si="19"/>
        <v>0</v>
      </c>
      <c r="U42">
        <f t="shared" si="20"/>
        <v>0</v>
      </c>
      <c r="V42">
        <f t="shared" si="21"/>
        <v>0</v>
      </c>
      <c r="W42">
        <f t="shared" si="22"/>
        <v>8</v>
      </c>
      <c r="X42">
        <f t="shared" si="23"/>
        <v>0</v>
      </c>
      <c r="Y42">
        <f t="shared" si="24"/>
        <v>0</v>
      </c>
      <c r="AA42">
        <v>71570244</v>
      </c>
      <c r="AB42">
        <f t="shared" si="25"/>
        <v>239.94</v>
      </c>
      <c r="AC42">
        <f t="shared" si="51"/>
        <v>239.94</v>
      </c>
      <c r="AD42">
        <f t="shared" si="26"/>
        <v>0</v>
      </c>
      <c r="AE42">
        <f t="shared" si="27"/>
        <v>0</v>
      </c>
      <c r="AF42">
        <f t="shared" si="28"/>
        <v>0</v>
      </c>
      <c r="AG42">
        <f t="shared" si="29"/>
        <v>0</v>
      </c>
      <c r="AH42">
        <f t="shared" si="30"/>
        <v>0</v>
      </c>
      <c r="AI42">
        <f t="shared" si="31"/>
        <v>0</v>
      </c>
      <c r="AJ42">
        <f t="shared" si="32"/>
        <v>3.84</v>
      </c>
      <c r="AK42">
        <v>239.93999999999997</v>
      </c>
      <c r="AL42">
        <v>239.93999999999997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3.84</v>
      </c>
      <c r="AT42">
        <v>0</v>
      </c>
      <c r="AU42">
        <v>0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7.56</v>
      </c>
      <c r="BD42" t="s">
        <v>3</v>
      </c>
      <c r="BE42" t="s">
        <v>3</v>
      </c>
      <c r="BF42" t="s">
        <v>3</v>
      </c>
      <c r="BG42" t="s">
        <v>3</v>
      </c>
      <c r="BH42">
        <v>3</v>
      </c>
      <c r="BI42">
        <v>1</v>
      </c>
      <c r="BJ42" t="s">
        <v>70</v>
      </c>
      <c r="BM42">
        <v>500001</v>
      </c>
      <c r="BN42">
        <v>0</v>
      </c>
      <c r="BO42" t="s">
        <v>3</v>
      </c>
      <c r="BP42">
        <v>0</v>
      </c>
      <c r="BQ42">
        <v>20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0</v>
      </c>
      <c r="CA42">
        <v>0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33"/>
        <v>3628</v>
      </c>
      <c r="CQ42">
        <f t="shared" si="34"/>
        <v>1813.9463999999998</v>
      </c>
      <c r="CR42">
        <f t="shared" si="35"/>
        <v>0</v>
      </c>
      <c r="CS42">
        <f t="shared" si="36"/>
        <v>0</v>
      </c>
      <c r="CT42">
        <f t="shared" si="37"/>
        <v>0</v>
      </c>
      <c r="CU42">
        <f t="shared" si="38"/>
        <v>0</v>
      </c>
      <c r="CV42">
        <f t="shared" si="39"/>
        <v>0</v>
      </c>
      <c r="CW42">
        <f t="shared" si="40"/>
        <v>0</v>
      </c>
      <c r="CX42">
        <f t="shared" si="41"/>
        <v>3.84</v>
      </c>
      <c r="CY42">
        <f>(S42+R42)*(BZ42/100)</f>
        <v>0</v>
      </c>
      <c r="CZ42">
        <f>(S42+R42)*(CA42/100)</f>
        <v>0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1010</v>
      </c>
      <c r="DV42" t="s">
        <v>69</v>
      </c>
      <c r="DW42" t="e">
        <f>'ТЗ '!#REF!</f>
        <v>#REF!</v>
      </c>
      <c r="DX42">
        <v>1</v>
      </c>
      <c r="DZ42" t="s">
        <v>3</v>
      </c>
      <c r="EA42" t="s">
        <v>3</v>
      </c>
      <c r="EB42" t="s">
        <v>3</v>
      </c>
      <c r="EC42" t="s">
        <v>3</v>
      </c>
      <c r="EE42">
        <v>66511700</v>
      </c>
      <c r="EF42">
        <v>20</v>
      </c>
      <c r="EG42" t="s">
        <v>35</v>
      </c>
      <c r="EH42">
        <v>0</v>
      </c>
      <c r="EI42" t="s">
        <v>3</v>
      </c>
      <c r="EJ42">
        <v>1</v>
      </c>
      <c r="EK42">
        <v>500001</v>
      </c>
      <c r="EL42" t="s">
        <v>36</v>
      </c>
      <c r="EM42" t="s">
        <v>37</v>
      </c>
      <c r="EO42" t="s">
        <v>3</v>
      </c>
      <c r="EQ42">
        <v>0</v>
      </c>
      <c r="ER42">
        <v>1725</v>
      </c>
      <c r="ES42">
        <v>239.93999999999997</v>
      </c>
      <c r="ET42">
        <v>0</v>
      </c>
      <c r="EU42">
        <v>0</v>
      </c>
      <c r="EV42">
        <v>0</v>
      </c>
      <c r="EW42">
        <v>0</v>
      </c>
      <c r="EX42">
        <v>0</v>
      </c>
      <c r="EZ42">
        <v>5</v>
      </c>
      <c r="FC42">
        <v>0</v>
      </c>
      <c r="FD42">
        <v>18</v>
      </c>
      <c r="FF42">
        <v>1725</v>
      </c>
      <c r="FQ42">
        <v>0</v>
      </c>
      <c r="FR42">
        <f t="shared" si="42"/>
        <v>0</v>
      </c>
      <c r="FS42">
        <v>0</v>
      </c>
      <c r="FX42">
        <v>0</v>
      </c>
      <c r="FY42">
        <v>0</v>
      </c>
      <c r="GA42" t="s">
        <v>71</v>
      </c>
      <c r="GD42">
        <v>1</v>
      </c>
      <c r="GF42">
        <v>-1860329091</v>
      </c>
      <c r="GG42">
        <v>2</v>
      </c>
      <c r="GH42">
        <v>3</v>
      </c>
      <c r="GI42">
        <v>5</v>
      </c>
      <c r="GJ42">
        <v>0</v>
      </c>
      <c r="GK42">
        <v>0</v>
      </c>
      <c r="GL42">
        <f t="shared" si="43"/>
        <v>0</v>
      </c>
      <c r="GM42">
        <f t="shared" si="44"/>
        <v>3628</v>
      </c>
      <c r="GN42">
        <f t="shared" si="45"/>
        <v>3628</v>
      </c>
      <c r="GO42">
        <f t="shared" si="46"/>
        <v>0</v>
      </c>
      <c r="GP42">
        <f t="shared" si="47"/>
        <v>0</v>
      </c>
      <c r="GR42">
        <v>1</v>
      </c>
      <c r="GS42">
        <v>1</v>
      </c>
      <c r="GT42">
        <v>0</v>
      </c>
      <c r="GU42" t="s">
        <v>3</v>
      </c>
      <c r="GV42">
        <f t="shared" si="48"/>
        <v>0</v>
      </c>
      <c r="GW42">
        <v>1</v>
      </c>
      <c r="GX42">
        <f t="shared" si="49"/>
        <v>0</v>
      </c>
      <c r="HA42">
        <v>0</v>
      </c>
      <c r="HB42">
        <v>0</v>
      </c>
      <c r="HC42">
        <f t="shared" si="50"/>
        <v>0</v>
      </c>
      <c r="HE42" t="s">
        <v>39</v>
      </c>
      <c r="HF42" t="s">
        <v>40</v>
      </c>
      <c r="HM42" t="s">
        <v>3</v>
      </c>
      <c r="HN42" t="s">
        <v>3</v>
      </c>
      <c r="HO42" t="s">
        <v>3</v>
      </c>
      <c r="HP42" t="s">
        <v>3</v>
      </c>
      <c r="HQ42" t="s">
        <v>3</v>
      </c>
      <c r="IF42">
        <v>-1</v>
      </c>
      <c r="IK42">
        <v>0</v>
      </c>
    </row>
    <row r="43" spans="1:255" x14ac:dyDescent="0.2">
      <c r="A43" s="2">
        <v>18</v>
      </c>
      <c r="B43" s="2">
        <v>1</v>
      </c>
      <c r="C43" s="2">
        <v>34</v>
      </c>
      <c r="D43" s="2"/>
      <c r="E43" s="2" t="s">
        <v>72</v>
      </c>
      <c r="F43" s="2" t="s">
        <v>73</v>
      </c>
      <c r="G43" s="2" t="s">
        <v>74</v>
      </c>
      <c r="H43" s="2" t="s">
        <v>75</v>
      </c>
      <c r="I43" s="2">
        <f>I37*J43</f>
        <v>0.156</v>
      </c>
      <c r="J43" s="2">
        <v>9.5121951219512191</v>
      </c>
      <c r="K43" s="2">
        <v>9.5121950000000002</v>
      </c>
      <c r="L43" s="2"/>
      <c r="M43" s="2"/>
      <c r="N43" s="2"/>
      <c r="O43" s="2">
        <f t="shared" si="14"/>
        <v>115</v>
      </c>
      <c r="P43" s="2">
        <f t="shared" si="15"/>
        <v>115</v>
      </c>
      <c r="Q43" s="2">
        <f t="shared" si="16"/>
        <v>0</v>
      </c>
      <c r="R43" s="2">
        <f t="shared" si="17"/>
        <v>0</v>
      </c>
      <c r="S43" s="2">
        <f t="shared" si="18"/>
        <v>0</v>
      </c>
      <c r="T43" s="2">
        <f t="shared" si="19"/>
        <v>0</v>
      </c>
      <c r="U43" s="2">
        <f t="shared" si="20"/>
        <v>0</v>
      </c>
      <c r="V43" s="2">
        <f t="shared" si="21"/>
        <v>0</v>
      </c>
      <c r="W43" s="2">
        <f t="shared" si="22"/>
        <v>0</v>
      </c>
      <c r="X43" s="2">
        <f t="shared" si="23"/>
        <v>0</v>
      </c>
      <c r="Y43" s="2">
        <f t="shared" si="24"/>
        <v>0</v>
      </c>
      <c r="Z43" s="2"/>
      <c r="AA43" s="2">
        <v>71570243</v>
      </c>
      <c r="AB43" s="2">
        <f t="shared" si="25"/>
        <v>737.83</v>
      </c>
      <c r="AC43" s="2">
        <f t="shared" si="51"/>
        <v>737.83</v>
      </c>
      <c r="AD43" s="2">
        <f t="shared" si="26"/>
        <v>0</v>
      </c>
      <c r="AE43" s="2">
        <f t="shared" si="27"/>
        <v>0</v>
      </c>
      <c r="AF43" s="2">
        <f t="shared" si="28"/>
        <v>0</v>
      </c>
      <c r="AG43" s="2">
        <f t="shared" si="29"/>
        <v>0</v>
      </c>
      <c r="AH43" s="2">
        <f t="shared" si="30"/>
        <v>0</v>
      </c>
      <c r="AI43" s="2">
        <f t="shared" si="31"/>
        <v>0</v>
      </c>
      <c r="AJ43" s="2">
        <f t="shared" si="32"/>
        <v>0</v>
      </c>
      <c r="AK43" s="2">
        <v>737.83</v>
      </c>
      <c r="AL43" s="103">
        <f>'1.Лок.смета.и.Акт'!F92</f>
        <v>737.83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1</v>
      </c>
      <c r="AW43" s="2">
        <v>1</v>
      </c>
      <c r="AX43" s="2"/>
      <c r="AY43" s="2"/>
      <c r="AZ43" s="2">
        <v>1</v>
      </c>
      <c r="BA43" s="2">
        <v>1</v>
      </c>
      <c r="BB43" s="2">
        <v>1</v>
      </c>
      <c r="BC43" s="2">
        <v>1</v>
      </c>
      <c r="BD43" s="2" t="s">
        <v>3</v>
      </c>
      <c r="BE43" s="2" t="s">
        <v>3</v>
      </c>
      <c r="BF43" s="2" t="s">
        <v>3</v>
      </c>
      <c r="BG43" s="2" t="s">
        <v>3</v>
      </c>
      <c r="BH43" s="2">
        <v>3</v>
      </c>
      <c r="BI43" s="2">
        <v>1</v>
      </c>
      <c r="BJ43" s="2" t="s">
        <v>76</v>
      </c>
      <c r="BK43" s="2"/>
      <c r="BL43" s="2"/>
      <c r="BM43" s="2">
        <v>500003</v>
      </c>
      <c r="BN43" s="2">
        <v>0</v>
      </c>
      <c r="BO43" s="2" t="s">
        <v>3</v>
      </c>
      <c r="BP43" s="2">
        <v>0</v>
      </c>
      <c r="BQ43" s="2">
        <v>22</v>
      </c>
      <c r="BR43" s="2">
        <v>0</v>
      </c>
      <c r="BS43" s="2">
        <v>1</v>
      </c>
      <c r="BT43" s="2">
        <v>1</v>
      </c>
      <c r="BU43" s="2">
        <v>1</v>
      </c>
      <c r="BV43" s="2">
        <v>1</v>
      </c>
      <c r="BW43" s="2">
        <v>1</v>
      </c>
      <c r="BX43" s="2">
        <v>1</v>
      </c>
      <c r="BY43" s="2" t="s">
        <v>3</v>
      </c>
      <c r="BZ43" s="2">
        <v>0</v>
      </c>
      <c r="CA43" s="2">
        <v>0</v>
      </c>
      <c r="CB43" s="2" t="s">
        <v>3</v>
      </c>
      <c r="CC43" s="2"/>
      <c r="CD43" s="2"/>
      <c r="CE43" s="2">
        <v>0</v>
      </c>
      <c r="CF43" s="2">
        <v>0</v>
      </c>
      <c r="CG43" s="2">
        <v>0</v>
      </c>
      <c r="CH43" s="2"/>
      <c r="CI43" s="2"/>
      <c r="CJ43" s="2"/>
      <c r="CK43" s="2"/>
      <c r="CL43" s="2"/>
      <c r="CM43" s="2">
        <v>0</v>
      </c>
      <c r="CN43" s="2" t="s">
        <v>3</v>
      </c>
      <c r="CO43" s="2">
        <v>0</v>
      </c>
      <c r="CP43" s="2">
        <f t="shared" si="33"/>
        <v>115</v>
      </c>
      <c r="CQ43" s="2">
        <f t="shared" si="34"/>
        <v>737.83</v>
      </c>
      <c r="CR43" s="2">
        <f t="shared" si="35"/>
        <v>0</v>
      </c>
      <c r="CS43" s="2">
        <f t="shared" si="36"/>
        <v>0</v>
      </c>
      <c r="CT43" s="2">
        <f t="shared" si="37"/>
        <v>0</v>
      </c>
      <c r="CU43" s="2">
        <f t="shared" si="38"/>
        <v>0</v>
      </c>
      <c r="CV43" s="2">
        <f t="shared" si="39"/>
        <v>0</v>
      </c>
      <c r="CW43" s="2">
        <f t="shared" si="40"/>
        <v>0</v>
      </c>
      <c r="CX43" s="2">
        <f t="shared" si="41"/>
        <v>0</v>
      </c>
      <c r="CY43" s="2">
        <f>(((S43+(R43*IF(0,0,1)))*AT43)/100)</f>
        <v>0</v>
      </c>
      <c r="CZ43" s="2">
        <f>(((S43+(R43*IF(0,0,1)))*AU43)/100)</f>
        <v>0</v>
      </c>
      <c r="DA43" s="2"/>
      <c r="DB43" s="2"/>
      <c r="DC43" s="2" t="s">
        <v>3</v>
      </c>
      <c r="DD43" s="2" t="s">
        <v>3</v>
      </c>
      <c r="DE43" s="2" t="s">
        <v>3</v>
      </c>
      <c r="DF43" s="2" t="s">
        <v>3</v>
      </c>
      <c r="DG43" s="2" t="s">
        <v>3</v>
      </c>
      <c r="DH43" s="2" t="s">
        <v>3</v>
      </c>
      <c r="DI43" s="2" t="s">
        <v>3</v>
      </c>
      <c r="DJ43" s="2" t="s">
        <v>3</v>
      </c>
      <c r="DK43" s="2" t="s">
        <v>3</v>
      </c>
      <c r="DL43" s="2" t="s">
        <v>3</v>
      </c>
      <c r="DM43" s="2" t="s">
        <v>3</v>
      </c>
      <c r="DN43" s="2">
        <v>0</v>
      </c>
      <c r="DO43" s="2">
        <v>0</v>
      </c>
      <c r="DP43" s="2">
        <v>1</v>
      </c>
      <c r="DQ43" s="2">
        <v>1</v>
      </c>
      <c r="DR43" s="2"/>
      <c r="DS43" s="2"/>
      <c r="DT43" s="2"/>
      <c r="DU43" s="2">
        <v>1007</v>
      </c>
      <c r="DV43" s="2" t="s">
        <v>75</v>
      </c>
      <c r="DW43" s="2" t="s">
        <v>75</v>
      </c>
      <c r="DX43" s="2">
        <v>1</v>
      </c>
      <c r="DY43" s="2"/>
      <c r="DZ43" s="2" t="s">
        <v>3</v>
      </c>
      <c r="EA43" s="2" t="s">
        <v>3</v>
      </c>
      <c r="EB43" s="2" t="s">
        <v>3</v>
      </c>
      <c r="EC43" s="2" t="s">
        <v>3</v>
      </c>
      <c r="ED43" s="2"/>
      <c r="EE43" s="2">
        <v>66511702</v>
      </c>
      <c r="EF43" s="2">
        <v>22</v>
      </c>
      <c r="EG43" s="2" t="s">
        <v>77</v>
      </c>
      <c r="EH43" s="2">
        <v>0</v>
      </c>
      <c r="EI43" s="2" t="s">
        <v>3</v>
      </c>
      <c r="EJ43" s="2">
        <v>1</v>
      </c>
      <c r="EK43" s="2">
        <v>500003</v>
      </c>
      <c r="EL43" s="2" t="s">
        <v>78</v>
      </c>
      <c r="EM43" s="2" t="s">
        <v>79</v>
      </c>
      <c r="EN43" s="2"/>
      <c r="EO43" s="2" t="s">
        <v>3</v>
      </c>
      <c r="EP43" s="2"/>
      <c r="EQ43" s="2">
        <v>0</v>
      </c>
      <c r="ER43" s="2">
        <v>737.83</v>
      </c>
      <c r="ES43" s="103">
        <f>'1.Лок.смета.и.Акт'!F92</f>
        <v>737.83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>
        <v>0</v>
      </c>
      <c r="FR43" s="2">
        <f t="shared" si="42"/>
        <v>0</v>
      </c>
      <c r="FS43" s="2">
        <v>0</v>
      </c>
      <c r="FT43" s="2"/>
      <c r="FU43" s="2"/>
      <c r="FV43" s="2"/>
      <c r="FW43" s="2"/>
      <c r="FX43" s="2">
        <v>0</v>
      </c>
      <c r="FY43" s="2">
        <v>0</v>
      </c>
      <c r="FZ43" s="2"/>
      <c r="GA43" s="2" t="s">
        <v>3</v>
      </c>
      <c r="GB43" s="2"/>
      <c r="GC43" s="2"/>
      <c r="GD43" s="2">
        <v>1</v>
      </c>
      <c r="GE43" s="2"/>
      <c r="GF43" s="2">
        <v>-1688108502</v>
      </c>
      <c r="GG43" s="2">
        <v>2</v>
      </c>
      <c r="GH43" s="2">
        <v>1</v>
      </c>
      <c r="GI43" s="2">
        <v>-2</v>
      </c>
      <c r="GJ43" s="2">
        <v>0</v>
      </c>
      <c r="GK43" s="2">
        <v>0</v>
      </c>
      <c r="GL43" s="2">
        <f t="shared" si="43"/>
        <v>0</v>
      </c>
      <c r="GM43" s="2">
        <f t="shared" si="44"/>
        <v>115</v>
      </c>
      <c r="GN43" s="2">
        <f t="shared" si="45"/>
        <v>115</v>
      </c>
      <c r="GO43" s="2">
        <f t="shared" si="46"/>
        <v>0</v>
      </c>
      <c r="GP43" s="2">
        <f t="shared" si="47"/>
        <v>0</v>
      </c>
      <c r="GQ43" s="2"/>
      <c r="GR43" s="2">
        <v>0</v>
      </c>
      <c r="GS43" s="2">
        <v>3</v>
      </c>
      <c r="GT43" s="2">
        <v>0</v>
      </c>
      <c r="GU43" s="2" t="s">
        <v>3</v>
      </c>
      <c r="GV43" s="2">
        <f t="shared" si="48"/>
        <v>0</v>
      </c>
      <c r="GW43" s="2">
        <v>1</v>
      </c>
      <c r="GX43" s="2">
        <f t="shared" si="49"/>
        <v>0</v>
      </c>
      <c r="GY43" s="2"/>
      <c r="GZ43" s="2"/>
      <c r="HA43" s="2">
        <v>0</v>
      </c>
      <c r="HB43" s="2">
        <v>0</v>
      </c>
      <c r="HC43" s="2">
        <f t="shared" si="50"/>
        <v>0</v>
      </c>
      <c r="HD43" s="2"/>
      <c r="HE43" s="2" t="s">
        <v>3</v>
      </c>
      <c r="HF43" s="2" t="s">
        <v>3</v>
      </c>
      <c r="HG43" s="2"/>
      <c r="HH43" s="2"/>
      <c r="HI43" s="2"/>
      <c r="HJ43" s="2"/>
      <c r="HK43" s="2"/>
      <c r="HL43" s="2"/>
      <c r="HM43" s="2" t="s">
        <v>3</v>
      </c>
      <c r="HN43" s="2" t="s">
        <v>3</v>
      </c>
      <c r="HO43" s="2" t="s">
        <v>3</v>
      </c>
      <c r="HP43" s="2" t="s">
        <v>3</v>
      </c>
      <c r="HQ43" s="2" t="s">
        <v>3</v>
      </c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>
        <v>-1</v>
      </c>
      <c r="IG43" s="2"/>
      <c r="IH43" s="2"/>
      <c r="II43" s="2"/>
      <c r="IJ43" s="2"/>
      <c r="IK43" s="2">
        <v>0</v>
      </c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pans="1:255" x14ac:dyDescent="0.2">
      <c r="A44">
        <v>18</v>
      </c>
      <c r="B44">
        <v>1</v>
      </c>
      <c r="C44">
        <v>44</v>
      </c>
      <c r="E44" t="s">
        <v>72</v>
      </c>
      <c r="F44" t="e">
        <f>'ТЗ '!#REF!</f>
        <v>#REF!</v>
      </c>
      <c r="G44" t="s">
        <v>74</v>
      </c>
      <c r="H44" t="s">
        <v>75</v>
      </c>
      <c r="I44">
        <f>I38*J44</f>
        <v>0.156</v>
      </c>
      <c r="J44" s="211">
        <f>'5.Ведомость_списания'!F36</f>
        <v>9.5121951219512191</v>
      </c>
      <c r="K44">
        <v>9.5121950000000002</v>
      </c>
      <c r="O44">
        <f t="shared" si="14"/>
        <v>860</v>
      </c>
      <c r="P44">
        <f t="shared" si="15"/>
        <v>860</v>
      </c>
      <c r="Q44">
        <f t="shared" si="16"/>
        <v>0</v>
      </c>
      <c r="R44">
        <f t="shared" si="17"/>
        <v>0</v>
      </c>
      <c r="S44">
        <f t="shared" si="18"/>
        <v>0</v>
      </c>
      <c r="T44">
        <f t="shared" si="19"/>
        <v>0</v>
      </c>
      <c r="U44">
        <f t="shared" si="20"/>
        <v>0</v>
      </c>
      <c r="V44">
        <f t="shared" si="21"/>
        <v>0</v>
      </c>
      <c r="W44">
        <f t="shared" si="22"/>
        <v>0</v>
      </c>
      <c r="X44">
        <f t="shared" si="23"/>
        <v>0</v>
      </c>
      <c r="Y44">
        <f t="shared" si="24"/>
        <v>0</v>
      </c>
      <c r="AA44">
        <v>71570244</v>
      </c>
      <c r="AB44">
        <f t="shared" si="25"/>
        <v>729.34</v>
      </c>
      <c r="AC44">
        <f t="shared" si="51"/>
        <v>729.34</v>
      </c>
      <c r="AD44">
        <f t="shared" si="26"/>
        <v>0</v>
      </c>
      <c r="AE44">
        <f t="shared" si="27"/>
        <v>0</v>
      </c>
      <c r="AF44">
        <f t="shared" si="28"/>
        <v>0</v>
      </c>
      <c r="AG44">
        <f t="shared" si="29"/>
        <v>0</v>
      </c>
      <c r="AH44">
        <f t="shared" si="30"/>
        <v>0</v>
      </c>
      <c r="AI44">
        <f t="shared" si="31"/>
        <v>0</v>
      </c>
      <c r="AJ44">
        <f t="shared" si="32"/>
        <v>0</v>
      </c>
      <c r="AK44">
        <v>729.33999999999992</v>
      </c>
      <c r="AL44">
        <v>729.33999999999992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7.56</v>
      </c>
      <c r="BD44" t="s">
        <v>3</v>
      </c>
      <c r="BE44" t="s">
        <v>3</v>
      </c>
      <c r="BF44" t="s">
        <v>3</v>
      </c>
      <c r="BG44" t="s">
        <v>3</v>
      </c>
      <c r="BH44">
        <v>3</v>
      </c>
      <c r="BI44">
        <v>1</v>
      </c>
      <c r="BJ44" t="s">
        <v>76</v>
      </c>
      <c r="BM44">
        <v>500003</v>
      </c>
      <c r="BN44">
        <v>0</v>
      </c>
      <c r="BO44" t="s">
        <v>3</v>
      </c>
      <c r="BP44">
        <v>0</v>
      </c>
      <c r="BQ44">
        <v>22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0</v>
      </c>
      <c r="CA44">
        <v>0</v>
      </c>
      <c r="CB44" t="s">
        <v>3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33"/>
        <v>860</v>
      </c>
      <c r="CQ44">
        <f t="shared" si="34"/>
        <v>5513.8104000000003</v>
      </c>
      <c r="CR44">
        <f t="shared" si="35"/>
        <v>0</v>
      </c>
      <c r="CS44">
        <f t="shared" si="36"/>
        <v>0</v>
      </c>
      <c r="CT44">
        <f t="shared" si="37"/>
        <v>0</v>
      </c>
      <c r="CU44">
        <f t="shared" si="38"/>
        <v>0</v>
      </c>
      <c r="CV44">
        <f t="shared" si="39"/>
        <v>0</v>
      </c>
      <c r="CW44">
        <f t="shared" si="40"/>
        <v>0</v>
      </c>
      <c r="CX44">
        <f t="shared" si="41"/>
        <v>0</v>
      </c>
      <c r="CY44">
        <f>(S44+R44)*(BZ44/100)</f>
        <v>0</v>
      </c>
      <c r="CZ44">
        <f>(S44+R44)*(CA44/100)</f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1007</v>
      </c>
      <c r="DV44" t="s">
        <v>75</v>
      </c>
      <c r="DW44" t="e">
        <f>'ТЗ '!#REF!</f>
        <v>#REF!</v>
      </c>
      <c r="DX44">
        <v>1</v>
      </c>
      <c r="DZ44" t="s">
        <v>3</v>
      </c>
      <c r="EA44" t="s">
        <v>3</v>
      </c>
      <c r="EB44" t="s">
        <v>3</v>
      </c>
      <c r="EC44" t="s">
        <v>3</v>
      </c>
      <c r="EE44">
        <v>66511702</v>
      </c>
      <c r="EF44">
        <v>22</v>
      </c>
      <c r="EG44" t="s">
        <v>77</v>
      </c>
      <c r="EH44">
        <v>0</v>
      </c>
      <c r="EI44" t="s">
        <v>3</v>
      </c>
      <c r="EJ44">
        <v>1</v>
      </c>
      <c r="EK44">
        <v>500003</v>
      </c>
      <c r="EL44" t="s">
        <v>78</v>
      </c>
      <c r="EM44" t="s">
        <v>79</v>
      </c>
      <c r="EO44" t="s">
        <v>3</v>
      </c>
      <c r="EQ44">
        <v>0</v>
      </c>
      <c r="ER44">
        <v>5243.19</v>
      </c>
      <c r="ES44">
        <v>729.33999999999992</v>
      </c>
      <c r="ET44">
        <v>0</v>
      </c>
      <c r="EU44">
        <v>0</v>
      </c>
      <c r="EV44">
        <v>0</v>
      </c>
      <c r="EW44">
        <v>0</v>
      </c>
      <c r="EX44">
        <v>0</v>
      </c>
      <c r="EZ44">
        <v>5</v>
      </c>
      <c r="FC44">
        <v>0</v>
      </c>
      <c r="FD44">
        <v>18</v>
      </c>
      <c r="FF44">
        <v>5243.19</v>
      </c>
      <c r="FQ44">
        <v>0</v>
      </c>
      <c r="FR44">
        <f t="shared" si="42"/>
        <v>0</v>
      </c>
      <c r="FS44">
        <v>0</v>
      </c>
      <c r="FX44">
        <v>0</v>
      </c>
      <c r="FY44">
        <v>0</v>
      </c>
      <c r="GA44" t="s">
        <v>80</v>
      </c>
      <c r="GD44">
        <v>1</v>
      </c>
      <c r="GF44">
        <v>-1688108502</v>
      </c>
      <c r="GG44">
        <v>2</v>
      </c>
      <c r="GH44">
        <v>3</v>
      </c>
      <c r="GI44">
        <v>5</v>
      </c>
      <c r="GJ44">
        <v>0</v>
      </c>
      <c r="GK44">
        <v>0</v>
      </c>
      <c r="GL44">
        <f t="shared" si="43"/>
        <v>0</v>
      </c>
      <c r="GM44">
        <f t="shared" si="44"/>
        <v>860</v>
      </c>
      <c r="GN44">
        <f t="shared" si="45"/>
        <v>860</v>
      </c>
      <c r="GO44">
        <f t="shared" si="46"/>
        <v>0</v>
      </c>
      <c r="GP44">
        <f t="shared" si="47"/>
        <v>0</v>
      </c>
      <c r="GR44">
        <v>1</v>
      </c>
      <c r="GS44">
        <v>1</v>
      </c>
      <c r="GT44">
        <v>0</v>
      </c>
      <c r="GU44" t="s">
        <v>3</v>
      </c>
      <c r="GV44">
        <f t="shared" si="48"/>
        <v>0</v>
      </c>
      <c r="GW44">
        <v>1</v>
      </c>
      <c r="GX44">
        <f t="shared" si="49"/>
        <v>0</v>
      </c>
      <c r="HA44">
        <v>0</v>
      </c>
      <c r="HB44">
        <v>0</v>
      </c>
      <c r="HC44">
        <f t="shared" si="50"/>
        <v>0</v>
      </c>
      <c r="HE44" t="s">
        <v>39</v>
      </c>
      <c r="HF44" t="s">
        <v>40</v>
      </c>
      <c r="HM44" t="s">
        <v>3</v>
      </c>
      <c r="HN44" t="s">
        <v>3</v>
      </c>
      <c r="HO44" t="s">
        <v>3</v>
      </c>
      <c r="HP44" t="s">
        <v>3</v>
      </c>
      <c r="HQ44" t="s">
        <v>3</v>
      </c>
      <c r="IF44">
        <v>-1</v>
      </c>
      <c r="IK44">
        <v>0</v>
      </c>
    </row>
    <row r="45" spans="1:255" x14ac:dyDescent="0.2">
      <c r="A45" s="2">
        <v>18</v>
      </c>
      <c r="B45" s="2">
        <v>1</v>
      </c>
      <c r="C45" s="2">
        <v>32</v>
      </c>
      <c r="D45" s="2"/>
      <c r="E45" s="2" t="s">
        <v>81</v>
      </c>
      <c r="F45" s="2" t="s">
        <v>82</v>
      </c>
      <c r="G45" s="2" t="s">
        <v>83</v>
      </c>
      <c r="H45" s="2" t="s">
        <v>69</v>
      </c>
      <c r="I45" s="2">
        <f>I37*J45</f>
        <v>2</v>
      </c>
      <c r="J45" s="2">
        <v>121.95121951219511</v>
      </c>
      <c r="K45" s="2">
        <v>121.95122000000001</v>
      </c>
      <c r="L45" s="2"/>
      <c r="M45" s="2"/>
      <c r="N45" s="2"/>
      <c r="O45" s="2">
        <f t="shared" si="14"/>
        <v>1043</v>
      </c>
      <c r="P45" s="2">
        <f t="shared" si="15"/>
        <v>1043</v>
      </c>
      <c r="Q45" s="2">
        <f t="shared" si="16"/>
        <v>0</v>
      </c>
      <c r="R45" s="2">
        <f t="shared" si="17"/>
        <v>0</v>
      </c>
      <c r="S45" s="2">
        <f t="shared" si="18"/>
        <v>0</v>
      </c>
      <c r="T45" s="2">
        <f t="shared" si="19"/>
        <v>0</v>
      </c>
      <c r="U45" s="2">
        <f t="shared" si="20"/>
        <v>0</v>
      </c>
      <c r="V45" s="2">
        <f t="shared" si="21"/>
        <v>0</v>
      </c>
      <c r="W45" s="2">
        <f t="shared" si="22"/>
        <v>6</v>
      </c>
      <c r="X45" s="2">
        <f t="shared" si="23"/>
        <v>0</v>
      </c>
      <c r="Y45" s="2">
        <f t="shared" si="24"/>
        <v>0</v>
      </c>
      <c r="Z45" s="2"/>
      <c r="AA45" s="2">
        <v>71570243</v>
      </c>
      <c r="AB45" s="2">
        <f t="shared" si="25"/>
        <v>521.52</v>
      </c>
      <c r="AC45" s="2">
        <f t="shared" si="51"/>
        <v>521.52</v>
      </c>
      <c r="AD45" s="2">
        <f t="shared" si="26"/>
        <v>0</v>
      </c>
      <c r="AE45" s="2">
        <f t="shared" si="27"/>
        <v>0</v>
      </c>
      <c r="AF45" s="2">
        <f t="shared" si="28"/>
        <v>0</v>
      </c>
      <c r="AG45" s="2">
        <f t="shared" si="29"/>
        <v>0</v>
      </c>
      <c r="AH45" s="2">
        <f t="shared" si="30"/>
        <v>0</v>
      </c>
      <c r="AI45" s="2">
        <f t="shared" si="31"/>
        <v>0</v>
      </c>
      <c r="AJ45" s="2">
        <f t="shared" si="32"/>
        <v>3.05</v>
      </c>
      <c r="AK45" s="2">
        <v>521.52</v>
      </c>
      <c r="AL45" s="103">
        <f>'1.Лок.смета.и.Акт'!F94</f>
        <v>521.52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3.05</v>
      </c>
      <c r="AT45" s="2">
        <v>0</v>
      </c>
      <c r="AU45" s="2">
        <v>0</v>
      </c>
      <c r="AV45" s="2">
        <v>1</v>
      </c>
      <c r="AW45" s="2">
        <v>1</v>
      </c>
      <c r="AX45" s="2"/>
      <c r="AY45" s="2"/>
      <c r="AZ45" s="2">
        <v>1</v>
      </c>
      <c r="BA45" s="2">
        <v>1</v>
      </c>
      <c r="BB45" s="2">
        <v>1</v>
      </c>
      <c r="BC45" s="2">
        <v>1</v>
      </c>
      <c r="BD45" s="2" t="s">
        <v>3</v>
      </c>
      <c r="BE45" s="2" t="s">
        <v>3</v>
      </c>
      <c r="BF45" s="2" t="s">
        <v>3</v>
      </c>
      <c r="BG45" s="2" t="s">
        <v>3</v>
      </c>
      <c r="BH45" s="2">
        <v>3</v>
      </c>
      <c r="BI45" s="2">
        <v>1</v>
      </c>
      <c r="BJ45" s="2" t="s">
        <v>84</v>
      </c>
      <c r="BK45" s="2"/>
      <c r="BL45" s="2"/>
      <c r="BM45" s="2">
        <v>500001</v>
      </c>
      <c r="BN45" s="2">
        <v>0</v>
      </c>
      <c r="BO45" s="2" t="s">
        <v>3</v>
      </c>
      <c r="BP45" s="2">
        <v>0</v>
      </c>
      <c r="BQ45" s="2">
        <v>20</v>
      </c>
      <c r="BR45" s="2">
        <v>0</v>
      </c>
      <c r="BS45" s="2">
        <v>1</v>
      </c>
      <c r="BT45" s="2">
        <v>1</v>
      </c>
      <c r="BU45" s="2">
        <v>1</v>
      </c>
      <c r="BV45" s="2">
        <v>1</v>
      </c>
      <c r="BW45" s="2">
        <v>1</v>
      </c>
      <c r="BX45" s="2">
        <v>1</v>
      </c>
      <c r="BY45" s="2" t="s">
        <v>3</v>
      </c>
      <c r="BZ45" s="2">
        <v>0</v>
      </c>
      <c r="CA45" s="2">
        <v>0</v>
      </c>
      <c r="CB45" s="2" t="s">
        <v>3</v>
      </c>
      <c r="CC45" s="2"/>
      <c r="CD45" s="2"/>
      <c r="CE45" s="2">
        <v>0</v>
      </c>
      <c r="CF45" s="2">
        <v>0</v>
      </c>
      <c r="CG45" s="2">
        <v>0</v>
      </c>
      <c r="CH45" s="2"/>
      <c r="CI45" s="2"/>
      <c r="CJ45" s="2"/>
      <c r="CK45" s="2"/>
      <c r="CL45" s="2"/>
      <c r="CM45" s="2">
        <v>0</v>
      </c>
      <c r="CN45" s="2" t="s">
        <v>3</v>
      </c>
      <c r="CO45" s="2">
        <v>0</v>
      </c>
      <c r="CP45" s="2">
        <f t="shared" si="33"/>
        <v>1043</v>
      </c>
      <c r="CQ45" s="2">
        <f t="shared" si="34"/>
        <v>521.52</v>
      </c>
      <c r="CR45" s="2">
        <f t="shared" si="35"/>
        <v>0</v>
      </c>
      <c r="CS45" s="2">
        <f t="shared" si="36"/>
        <v>0</v>
      </c>
      <c r="CT45" s="2">
        <f t="shared" si="37"/>
        <v>0</v>
      </c>
      <c r="CU45" s="2">
        <f t="shared" si="38"/>
        <v>0</v>
      </c>
      <c r="CV45" s="2">
        <f t="shared" si="39"/>
        <v>0</v>
      </c>
      <c r="CW45" s="2">
        <f t="shared" si="40"/>
        <v>0</v>
      </c>
      <c r="CX45" s="2">
        <f t="shared" si="41"/>
        <v>3.05</v>
      </c>
      <c r="CY45" s="2">
        <f>(((S45+(R45*IF(0,0,1)))*AT45)/100)</f>
        <v>0</v>
      </c>
      <c r="CZ45" s="2">
        <f>(((S45+(R45*IF(0,0,1)))*AU45)/100)</f>
        <v>0</v>
      </c>
      <c r="DA45" s="2"/>
      <c r="DB45" s="2"/>
      <c r="DC45" s="2" t="s">
        <v>3</v>
      </c>
      <c r="DD45" s="2" t="s">
        <v>3</v>
      </c>
      <c r="DE45" s="2" t="s">
        <v>3</v>
      </c>
      <c r="DF45" s="2" t="s">
        <v>3</v>
      </c>
      <c r="DG45" s="2" t="s">
        <v>3</v>
      </c>
      <c r="DH45" s="2" t="s">
        <v>3</v>
      </c>
      <c r="DI45" s="2" t="s">
        <v>3</v>
      </c>
      <c r="DJ45" s="2" t="s">
        <v>3</v>
      </c>
      <c r="DK45" s="2" t="s">
        <v>3</v>
      </c>
      <c r="DL45" s="2" t="s">
        <v>3</v>
      </c>
      <c r="DM45" s="2" t="s">
        <v>3</v>
      </c>
      <c r="DN45" s="2">
        <v>0</v>
      </c>
      <c r="DO45" s="2">
        <v>0</v>
      </c>
      <c r="DP45" s="2">
        <v>1</v>
      </c>
      <c r="DQ45" s="2">
        <v>1</v>
      </c>
      <c r="DR45" s="2"/>
      <c r="DS45" s="2"/>
      <c r="DT45" s="2"/>
      <c r="DU45" s="2">
        <v>1010</v>
      </c>
      <c r="DV45" s="2" t="s">
        <v>69</v>
      </c>
      <c r="DW45" s="2" t="s">
        <v>69</v>
      </c>
      <c r="DX45" s="2">
        <v>1</v>
      </c>
      <c r="DY45" s="2"/>
      <c r="DZ45" s="2" t="s">
        <v>3</v>
      </c>
      <c r="EA45" s="2" t="s">
        <v>3</v>
      </c>
      <c r="EB45" s="2" t="s">
        <v>3</v>
      </c>
      <c r="EC45" s="2" t="s">
        <v>3</v>
      </c>
      <c r="ED45" s="2"/>
      <c r="EE45" s="2">
        <v>66511700</v>
      </c>
      <c r="EF45" s="2">
        <v>20</v>
      </c>
      <c r="EG45" s="2" t="s">
        <v>35</v>
      </c>
      <c r="EH45" s="2">
        <v>0</v>
      </c>
      <c r="EI45" s="2" t="s">
        <v>3</v>
      </c>
      <c r="EJ45" s="2">
        <v>1</v>
      </c>
      <c r="EK45" s="2">
        <v>500001</v>
      </c>
      <c r="EL45" s="2" t="s">
        <v>36</v>
      </c>
      <c r="EM45" s="2" t="s">
        <v>37</v>
      </c>
      <c r="EN45" s="2"/>
      <c r="EO45" s="2" t="s">
        <v>3</v>
      </c>
      <c r="EP45" s="2"/>
      <c r="EQ45" s="2">
        <v>0</v>
      </c>
      <c r="ER45" s="2">
        <v>521.52</v>
      </c>
      <c r="ES45" s="103">
        <f>'1.Лок.смета.и.Акт'!F94</f>
        <v>521.52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>
        <v>0</v>
      </c>
      <c r="FR45" s="2">
        <f t="shared" si="42"/>
        <v>0</v>
      </c>
      <c r="FS45" s="2">
        <v>0</v>
      </c>
      <c r="FT45" s="2"/>
      <c r="FU45" s="2"/>
      <c r="FV45" s="2"/>
      <c r="FW45" s="2"/>
      <c r="FX45" s="2">
        <v>0</v>
      </c>
      <c r="FY45" s="2">
        <v>0</v>
      </c>
      <c r="FZ45" s="2"/>
      <c r="GA45" s="2" t="s">
        <v>3</v>
      </c>
      <c r="GB45" s="2"/>
      <c r="GC45" s="2"/>
      <c r="GD45" s="2">
        <v>1</v>
      </c>
      <c r="GE45" s="2"/>
      <c r="GF45" s="2">
        <v>-1787222981</v>
      </c>
      <c r="GG45" s="2">
        <v>2</v>
      </c>
      <c r="GH45" s="2">
        <v>1</v>
      </c>
      <c r="GI45" s="2">
        <v>-2</v>
      </c>
      <c r="GJ45" s="2">
        <v>0</v>
      </c>
      <c r="GK45" s="2">
        <v>0</v>
      </c>
      <c r="GL45" s="2">
        <f t="shared" si="43"/>
        <v>0</v>
      </c>
      <c r="GM45" s="2">
        <f t="shared" si="44"/>
        <v>1043</v>
      </c>
      <c r="GN45" s="2">
        <f t="shared" si="45"/>
        <v>1043</v>
      </c>
      <c r="GO45" s="2">
        <f t="shared" si="46"/>
        <v>0</v>
      </c>
      <c r="GP45" s="2">
        <f t="shared" si="47"/>
        <v>0</v>
      </c>
      <c r="GQ45" s="2"/>
      <c r="GR45" s="2">
        <v>0</v>
      </c>
      <c r="GS45" s="2">
        <v>3</v>
      </c>
      <c r="GT45" s="2">
        <v>0</v>
      </c>
      <c r="GU45" s="2" t="s">
        <v>3</v>
      </c>
      <c r="GV45" s="2">
        <f t="shared" si="48"/>
        <v>0</v>
      </c>
      <c r="GW45" s="2">
        <v>1</v>
      </c>
      <c r="GX45" s="2">
        <f t="shared" si="49"/>
        <v>0</v>
      </c>
      <c r="GY45" s="2"/>
      <c r="GZ45" s="2"/>
      <c r="HA45" s="2">
        <v>0</v>
      </c>
      <c r="HB45" s="2">
        <v>0</v>
      </c>
      <c r="HC45" s="2">
        <f t="shared" si="50"/>
        <v>0</v>
      </c>
      <c r="HD45" s="2"/>
      <c r="HE45" s="2" t="s">
        <v>3</v>
      </c>
      <c r="HF45" s="2" t="s">
        <v>3</v>
      </c>
      <c r="HG45" s="2"/>
      <c r="HH45" s="2"/>
      <c r="HI45" s="2"/>
      <c r="HJ45" s="2"/>
      <c r="HK45" s="2"/>
      <c r="HL45" s="2"/>
      <c r="HM45" s="2" t="s">
        <v>3</v>
      </c>
      <c r="HN45" s="2" t="s">
        <v>3</v>
      </c>
      <c r="HO45" s="2" t="s">
        <v>3</v>
      </c>
      <c r="HP45" s="2" t="s">
        <v>3</v>
      </c>
      <c r="HQ45" s="2" t="s">
        <v>3</v>
      </c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>
        <v>-1</v>
      </c>
      <c r="IG45" s="2"/>
      <c r="IH45" s="2"/>
      <c r="II45" s="2"/>
      <c r="IJ45" s="2"/>
      <c r="IK45" s="2">
        <v>0</v>
      </c>
      <c r="IL45" s="2"/>
      <c r="IM45" s="2"/>
      <c r="IN45" s="2"/>
      <c r="IO45" s="2"/>
      <c r="IP45" s="2"/>
      <c r="IQ45" s="2"/>
      <c r="IR45" s="2"/>
      <c r="IS45" s="2"/>
      <c r="IT45" s="2"/>
      <c r="IU45" s="2"/>
    </row>
    <row r="46" spans="1:255" x14ac:dyDescent="0.2">
      <c r="A46">
        <v>18</v>
      </c>
      <c r="B46">
        <v>1</v>
      </c>
      <c r="C46">
        <v>42</v>
      </c>
      <c r="E46" t="s">
        <v>81</v>
      </c>
      <c r="F46" t="e">
        <f>'ТЗ '!#REF!</f>
        <v>#REF!</v>
      </c>
      <c r="G46" t="s">
        <v>83</v>
      </c>
      <c r="H46" t="s">
        <v>69</v>
      </c>
      <c r="I46">
        <f>I38*J46</f>
        <v>2</v>
      </c>
      <c r="J46" s="211">
        <f>'5.Ведомость_списания'!F37</f>
        <v>121.95121951219511</v>
      </c>
      <c r="K46">
        <v>121.95122000000001</v>
      </c>
      <c r="O46">
        <f t="shared" si="14"/>
        <v>2261</v>
      </c>
      <c r="P46">
        <f t="shared" si="15"/>
        <v>2261</v>
      </c>
      <c r="Q46">
        <f t="shared" si="16"/>
        <v>0</v>
      </c>
      <c r="R46">
        <f t="shared" si="17"/>
        <v>0</v>
      </c>
      <c r="S46">
        <f t="shared" si="18"/>
        <v>0</v>
      </c>
      <c r="T46">
        <f t="shared" si="19"/>
        <v>0</v>
      </c>
      <c r="U46">
        <f t="shared" si="20"/>
        <v>0</v>
      </c>
      <c r="V46">
        <f t="shared" si="21"/>
        <v>0</v>
      </c>
      <c r="W46">
        <f t="shared" si="22"/>
        <v>6</v>
      </c>
      <c r="X46">
        <f t="shared" si="23"/>
        <v>0</v>
      </c>
      <c r="Y46">
        <f t="shared" si="24"/>
        <v>0</v>
      </c>
      <c r="AA46">
        <v>71570244</v>
      </c>
      <c r="AB46">
        <f t="shared" si="25"/>
        <v>149.54</v>
      </c>
      <c r="AC46">
        <f t="shared" si="51"/>
        <v>149.54</v>
      </c>
      <c r="AD46">
        <f t="shared" si="26"/>
        <v>0</v>
      </c>
      <c r="AE46">
        <f t="shared" si="27"/>
        <v>0</v>
      </c>
      <c r="AF46">
        <f t="shared" si="28"/>
        <v>0</v>
      </c>
      <c r="AG46">
        <f t="shared" si="29"/>
        <v>0</v>
      </c>
      <c r="AH46">
        <f t="shared" si="30"/>
        <v>0</v>
      </c>
      <c r="AI46">
        <f t="shared" si="31"/>
        <v>0</v>
      </c>
      <c r="AJ46">
        <f t="shared" si="32"/>
        <v>3.05</v>
      </c>
      <c r="AK46">
        <v>149.54</v>
      </c>
      <c r="AL46">
        <v>149.54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3.05</v>
      </c>
      <c r="AT46">
        <v>0</v>
      </c>
      <c r="AU46">
        <v>0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7.56</v>
      </c>
      <c r="BD46" t="s">
        <v>3</v>
      </c>
      <c r="BE46" t="s">
        <v>3</v>
      </c>
      <c r="BF46" t="s">
        <v>3</v>
      </c>
      <c r="BG46" t="s">
        <v>3</v>
      </c>
      <c r="BH46">
        <v>3</v>
      </c>
      <c r="BI46">
        <v>1</v>
      </c>
      <c r="BJ46" t="s">
        <v>84</v>
      </c>
      <c r="BM46">
        <v>500001</v>
      </c>
      <c r="BN46">
        <v>0</v>
      </c>
      <c r="BO46" t="s">
        <v>3</v>
      </c>
      <c r="BP46">
        <v>0</v>
      </c>
      <c r="BQ46">
        <v>20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0</v>
      </c>
      <c r="CA46">
        <v>0</v>
      </c>
      <c r="CB46" t="s">
        <v>3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>
        <f t="shared" si="33"/>
        <v>2261</v>
      </c>
      <c r="CQ46">
        <f t="shared" si="34"/>
        <v>1130.5223999999998</v>
      </c>
      <c r="CR46">
        <f t="shared" si="35"/>
        <v>0</v>
      </c>
      <c r="CS46">
        <f t="shared" si="36"/>
        <v>0</v>
      </c>
      <c r="CT46">
        <f t="shared" si="37"/>
        <v>0</v>
      </c>
      <c r="CU46">
        <f t="shared" si="38"/>
        <v>0</v>
      </c>
      <c r="CV46">
        <f t="shared" si="39"/>
        <v>0</v>
      </c>
      <c r="CW46">
        <f t="shared" si="40"/>
        <v>0</v>
      </c>
      <c r="CX46">
        <f t="shared" si="41"/>
        <v>3.05</v>
      </c>
      <c r="CY46">
        <f>(S46+R46)*(BZ46/100)</f>
        <v>0</v>
      </c>
      <c r="CZ46">
        <f>(S46+R46)*(CA46/100)</f>
        <v>0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1010</v>
      </c>
      <c r="DV46" t="s">
        <v>69</v>
      </c>
      <c r="DW46" t="e">
        <f>'ТЗ '!#REF!</f>
        <v>#REF!</v>
      </c>
      <c r="DX46">
        <v>1</v>
      </c>
      <c r="DZ46" t="s">
        <v>3</v>
      </c>
      <c r="EA46" t="s">
        <v>3</v>
      </c>
      <c r="EB46" t="s">
        <v>3</v>
      </c>
      <c r="EC46" t="s">
        <v>3</v>
      </c>
      <c r="EE46">
        <v>66511700</v>
      </c>
      <c r="EF46">
        <v>20</v>
      </c>
      <c r="EG46" t="s">
        <v>35</v>
      </c>
      <c r="EH46">
        <v>0</v>
      </c>
      <c r="EI46" t="s">
        <v>3</v>
      </c>
      <c r="EJ46">
        <v>1</v>
      </c>
      <c r="EK46">
        <v>500001</v>
      </c>
      <c r="EL46" t="s">
        <v>36</v>
      </c>
      <c r="EM46" t="s">
        <v>37</v>
      </c>
      <c r="EO46" t="s">
        <v>3</v>
      </c>
      <c r="EQ46">
        <v>0</v>
      </c>
      <c r="ER46">
        <v>1075</v>
      </c>
      <c r="ES46">
        <v>149.54</v>
      </c>
      <c r="ET46">
        <v>0</v>
      </c>
      <c r="EU46">
        <v>0</v>
      </c>
      <c r="EV46">
        <v>0</v>
      </c>
      <c r="EW46">
        <v>0</v>
      </c>
      <c r="EX46">
        <v>0</v>
      </c>
      <c r="EZ46">
        <v>5</v>
      </c>
      <c r="FC46">
        <v>0</v>
      </c>
      <c r="FD46">
        <v>18</v>
      </c>
      <c r="FF46">
        <v>1075</v>
      </c>
      <c r="FQ46">
        <v>0</v>
      </c>
      <c r="FR46">
        <f t="shared" si="42"/>
        <v>0</v>
      </c>
      <c r="FS46">
        <v>0</v>
      </c>
      <c r="FX46">
        <v>0</v>
      </c>
      <c r="FY46">
        <v>0</v>
      </c>
      <c r="GA46" t="s">
        <v>85</v>
      </c>
      <c r="GD46">
        <v>1</v>
      </c>
      <c r="GF46">
        <v>-1787222981</v>
      </c>
      <c r="GG46">
        <v>2</v>
      </c>
      <c r="GH46">
        <v>3</v>
      </c>
      <c r="GI46">
        <v>5</v>
      </c>
      <c r="GJ46">
        <v>0</v>
      </c>
      <c r="GK46">
        <v>0</v>
      </c>
      <c r="GL46">
        <f t="shared" si="43"/>
        <v>0</v>
      </c>
      <c r="GM46">
        <f t="shared" si="44"/>
        <v>2261</v>
      </c>
      <c r="GN46">
        <f t="shared" si="45"/>
        <v>2261</v>
      </c>
      <c r="GO46">
        <f t="shared" si="46"/>
        <v>0</v>
      </c>
      <c r="GP46">
        <f t="shared" si="47"/>
        <v>0</v>
      </c>
      <c r="GR46">
        <v>1</v>
      </c>
      <c r="GS46">
        <v>1</v>
      </c>
      <c r="GT46">
        <v>0</v>
      </c>
      <c r="GU46" t="s">
        <v>3</v>
      </c>
      <c r="GV46">
        <f t="shared" si="48"/>
        <v>0</v>
      </c>
      <c r="GW46">
        <v>1</v>
      </c>
      <c r="GX46">
        <f t="shared" si="49"/>
        <v>0</v>
      </c>
      <c r="HA46">
        <v>0</v>
      </c>
      <c r="HB46">
        <v>0</v>
      </c>
      <c r="HC46">
        <f t="shared" si="50"/>
        <v>0</v>
      </c>
      <c r="HE46" t="s">
        <v>39</v>
      </c>
      <c r="HF46" t="s">
        <v>40</v>
      </c>
      <c r="HM46" t="s">
        <v>3</v>
      </c>
      <c r="HN46" t="s">
        <v>3</v>
      </c>
      <c r="HO46" t="s">
        <v>3</v>
      </c>
      <c r="HP46" t="s">
        <v>3</v>
      </c>
      <c r="HQ46" t="s">
        <v>3</v>
      </c>
      <c r="IF46">
        <v>-1</v>
      </c>
      <c r="IK46">
        <v>0</v>
      </c>
    </row>
    <row r="47" spans="1:255" x14ac:dyDescent="0.2">
      <c r="A47" s="2">
        <v>17</v>
      </c>
      <c r="B47" s="2">
        <v>1</v>
      </c>
      <c r="C47" s="2">
        <f>ROW(SmtRes!A46)</f>
        <v>46</v>
      </c>
      <c r="D47" s="2">
        <f>ROW(EtalonRes!A59)</f>
        <v>59</v>
      </c>
      <c r="E47" s="2" t="s">
        <v>86</v>
      </c>
      <c r="F47" s="2" t="s">
        <v>87</v>
      </c>
      <c r="G47" s="2" t="s">
        <v>88</v>
      </c>
      <c r="H47" s="2" t="s">
        <v>89</v>
      </c>
      <c r="I47" s="2">
        <f>'ТЗ '!E22</f>
        <v>0.02</v>
      </c>
      <c r="J47" s="2">
        <v>0</v>
      </c>
      <c r="K47" s="2">
        <f>ROUND(0.02,9)</f>
        <v>0.02</v>
      </c>
      <c r="L47" s="2"/>
      <c r="M47" s="2"/>
      <c r="N47" s="2"/>
      <c r="O47" s="2">
        <f t="shared" si="14"/>
        <v>12</v>
      </c>
      <c r="P47" s="2">
        <f t="shared" si="15"/>
        <v>0</v>
      </c>
      <c r="Q47" s="2">
        <f t="shared" si="16"/>
        <v>0</v>
      </c>
      <c r="R47" s="2">
        <f t="shared" si="17"/>
        <v>0</v>
      </c>
      <c r="S47" s="2">
        <f t="shared" si="18"/>
        <v>12</v>
      </c>
      <c r="T47" s="2">
        <f t="shared" si="19"/>
        <v>0</v>
      </c>
      <c r="U47" s="2">
        <f t="shared" si="20"/>
        <v>1.3800000000000001</v>
      </c>
      <c r="V47" s="2">
        <f t="shared" si="21"/>
        <v>0</v>
      </c>
      <c r="W47" s="2">
        <f t="shared" si="22"/>
        <v>0</v>
      </c>
      <c r="X47" s="2">
        <f t="shared" si="23"/>
        <v>17</v>
      </c>
      <c r="Y47" s="2">
        <f t="shared" si="24"/>
        <v>11</v>
      </c>
      <c r="Z47" s="2"/>
      <c r="AA47" s="2">
        <v>71570243</v>
      </c>
      <c r="AB47" s="2">
        <f t="shared" si="25"/>
        <v>593.4</v>
      </c>
      <c r="AC47" s="2">
        <f>ROUND((ES47+(SUM(SmtRes!BC45:'SmtRes'!BC46)+SUM(EtalonRes!AL57:'EtalonRes'!AL59))),2)</f>
        <v>0</v>
      </c>
      <c r="AD47" s="2">
        <f t="shared" si="26"/>
        <v>0</v>
      </c>
      <c r="AE47" s="2">
        <f t="shared" si="27"/>
        <v>0</v>
      </c>
      <c r="AF47" s="2">
        <f t="shared" si="28"/>
        <v>593.4</v>
      </c>
      <c r="AG47" s="2">
        <f t="shared" si="29"/>
        <v>0</v>
      </c>
      <c r="AH47" s="2">
        <f t="shared" si="30"/>
        <v>69</v>
      </c>
      <c r="AI47" s="2">
        <f t="shared" si="31"/>
        <v>0</v>
      </c>
      <c r="AJ47" s="2">
        <f t="shared" si="32"/>
        <v>0</v>
      </c>
      <c r="AK47" s="2">
        <v>882.6</v>
      </c>
      <c r="AL47" s="2">
        <v>289.2</v>
      </c>
      <c r="AM47" s="2">
        <v>0</v>
      </c>
      <c r="AN47" s="2">
        <v>0</v>
      </c>
      <c r="AO47" s="2">
        <v>593.4</v>
      </c>
      <c r="AP47" s="2">
        <v>0</v>
      </c>
      <c r="AQ47" s="2">
        <v>69</v>
      </c>
      <c r="AR47" s="2">
        <v>0</v>
      </c>
      <c r="AS47" s="2">
        <v>0</v>
      </c>
      <c r="AT47" s="2">
        <v>142</v>
      </c>
      <c r="AU47" s="2">
        <v>95</v>
      </c>
      <c r="AV47" s="2">
        <v>1</v>
      </c>
      <c r="AW47" s="2">
        <v>1</v>
      </c>
      <c r="AX47" s="2"/>
      <c r="AY47" s="2"/>
      <c r="AZ47" s="2">
        <v>1</v>
      </c>
      <c r="BA47" s="2">
        <v>1</v>
      </c>
      <c r="BB47" s="2">
        <v>1</v>
      </c>
      <c r="BC47" s="2">
        <v>1</v>
      </c>
      <c r="BD47" s="2" t="s">
        <v>3</v>
      </c>
      <c r="BE47" s="2" t="s">
        <v>3</v>
      </c>
      <c r="BF47" s="2" t="s">
        <v>3</v>
      </c>
      <c r="BG47" s="2" t="s">
        <v>3</v>
      </c>
      <c r="BH47" s="2">
        <v>0</v>
      </c>
      <c r="BI47" s="2">
        <v>1</v>
      </c>
      <c r="BJ47" s="2" t="s">
        <v>90</v>
      </c>
      <c r="BK47" s="2"/>
      <c r="BL47" s="2"/>
      <c r="BM47" s="2">
        <v>27001</v>
      </c>
      <c r="BN47" s="2">
        <v>0</v>
      </c>
      <c r="BO47" s="2" t="s">
        <v>3</v>
      </c>
      <c r="BP47" s="2">
        <v>0</v>
      </c>
      <c r="BQ47" s="2">
        <v>1</v>
      </c>
      <c r="BR47" s="2">
        <v>0</v>
      </c>
      <c r="BS47" s="2">
        <v>1</v>
      </c>
      <c r="BT47" s="2">
        <v>1</v>
      </c>
      <c r="BU47" s="2">
        <v>1</v>
      </c>
      <c r="BV47" s="2">
        <v>1</v>
      </c>
      <c r="BW47" s="2">
        <v>1</v>
      </c>
      <c r="BX47" s="2">
        <v>1</v>
      </c>
      <c r="BY47" s="2" t="s">
        <v>3</v>
      </c>
      <c r="BZ47" s="2">
        <v>142</v>
      </c>
      <c r="CA47" s="2">
        <v>95</v>
      </c>
      <c r="CB47" s="2" t="s">
        <v>3</v>
      </c>
      <c r="CC47" s="2"/>
      <c r="CD47" s="2"/>
      <c r="CE47" s="2">
        <v>0</v>
      </c>
      <c r="CF47" s="2">
        <v>0</v>
      </c>
      <c r="CG47" s="2">
        <v>0</v>
      </c>
      <c r="CH47" s="2"/>
      <c r="CI47" s="2"/>
      <c r="CJ47" s="2"/>
      <c r="CK47" s="2"/>
      <c r="CL47" s="2"/>
      <c r="CM47" s="2">
        <v>0</v>
      </c>
      <c r="CN47" s="2" t="s">
        <v>3</v>
      </c>
      <c r="CO47" s="2">
        <v>0</v>
      </c>
      <c r="CP47" s="2">
        <f t="shared" si="33"/>
        <v>12</v>
      </c>
      <c r="CQ47" s="2">
        <f t="shared" si="34"/>
        <v>0</v>
      </c>
      <c r="CR47" s="2">
        <f t="shared" si="35"/>
        <v>0</v>
      </c>
      <c r="CS47" s="2">
        <f t="shared" si="36"/>
        <v>0</v>
      </c>
      <c r="CT47" s="2">
        <f t="shared" si="37"/>
        <v>593.4</v>
      </c>
      <c r="CU47" s="2">
        <f t="shared" si="38"/>
        <v>0</v>
      </c>
      <c r="CV47" s="2">
        <f t="shared" si="39"/>
        <v>69</v>
      </c>
      <c r="CW47" s="2">
        <f t="shared" si="40"/>
        <v>0</v>
      </c>
      <c r="CX47" s="2">
        <f t="shared" si="41"/>
        <v>0</v>
      </c>
      <c r="CY47" s="2">
        <f>(((S47+(R47*IF(0,0,1)))*AT47)/100)</f>
        <v>17.04</v>
      </c>
      <c r="CZ47" s="2">
        <f>(((S47+(R47*IF(0,0,1)))*AU47)/100)</f>
        <v>11.4</v>
      </c>
      <c r="DA47" s="2"/>
      <c r="DB47" s="2"/>
      <c r="DC47" s="2" t="s">
        <v>3</v>
      </c>
      <c r="DD47" s="2" t="s">
        <v>3</v>
      </c>
      <c r="DE47" s="2" t="s">
        <v>3</v>
      </c>
      <c r="DF47" s="2" t="s">
        <v>3</v>
      </c>
      <c r="DG47" s="2" t="s">
        <v>3</v>
      </c>
      <c r="DH47" s="2" t="s">
        <v>3</v>
      </c>
      <c r="DI47" s="2" t="s">
        <v>3</v>
      </c>
      <c r="DJ47" s="2" t="s">
        <v>3</v>
      </c>
      <c r="DK47" s="2" t="s">
        <v>3</v>
      </c>
      <c r="DL47" s="2" t="s">
        <v>3</v>
      </c>
      <c r="DM47" s="2" t="s">
        <v>3</v>
      </c>
      <c r="DN47" s="2">
        <v>0</v>
      </c>
      <c r="DO47" s="2">
        <v>0</v>
      </c>
      <c r="DP47" s="2">
        <v>1</v>
      </c>
      <c r="DQ47" s="2">
        <v>1</v>
      </c>
      <c r="DR47" s="2"/>
      <c r="DS47" s="2"/>
      <c r="DT47" s="2"/>
      <c r="DU47" s="2">
        <v>1013</v>
      </c>
      <c r="DV47" s="2" t="s">
        <v>89</v>
      </c>
      <c r="DW47" s="2" t="s">
        <v>89</v>
      </c>
      <c r="DX47" s="2">
        <v>1</v>
      </c>
      <c r="DY47" s="2"/>
      <c r="DZ47" s="2" t="s">
        <v>3</v>
      </c>
      <c r="EA47" s="2" t="s">
        <v>3</v>
      </c>
      <c r="EB47" s="2" t="s">
        <v>3</v>
      </c>
      <c r="EC47" s="2" t="s">
        <v>3</v>
      </c>
      <c r="ED47" s="2"/>
      <c r="EE47" s="2">
        <v>66511559</v>
      </c>
      <c r="EF47" s="2">
        <v>1</v>
      </c>
      <c r="EG47" s="2" t="s">
        <v>27</v>
      </c>
      <c r="EH47" s="2">
        <v>0</v>
      </c>
      <c r="EI47" s="2" t="s">
        <v>3</v>
      </c>
      <c r="EJ47" s="2">
        <v>1</v>
      </c>
      <c r="EK47" s="2">
        <v>27001</v>
      </c>
      <c r="EL47" s="2" t="s">
        <v>28</v>
      </c>
      <c r="EM47" s="2" t="s">
        <v>29</v>
      </c>
      <c r="EN47" s="2"/>
      <c r="EO47" s="2" t="s">
        <v>3</v>
      </c>
      <c r="EP47" s="2"/>
      <c r="EQ47" s="2">
        <v>131072</v>
      </c>
      <c r="ER47" s="2">
        <v>882.6</v>
      </c>
      <c r="ES47" s="2">
        <v>289.2</v>
      </c>
      <c r="ET47" s="2">
        <v>0</v>
      </c>
      <c r="EU47" s="2">
        <v>0</v>
      </c>
      <c r="EV47" s="2">
        <v>593.4</v>
      </c>
      <c r="EW47" s="2">
        <v>69</v>
      </c>
      <c r="EX47" s="2">
        <v>0</v>
      </c>
      <c r="EY47" s="2">
        <v>1</v>
      </c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>
        <v>0</v>
      </c>
      <c r="FR47" s="2">
        <f t="shared" si="42"/>
        <v>0</v>
      </c>
      <c r="FS47" s="2">
        <v>0</v>
      </c>
      <c r="FT47" s="2"/>
      <c r="FU47" s="2"/>
      <c r="FV47" s="2"/>
      <c r="FW47" s="2"/>
      <c r="FX47" s="2">
        <v>142</v>
      </c>
      <c r="FY47" s="2">
        <v>95</v>
      </c>
      <c r="FZ47" s="2"/>
      <c r="GA47" s="2" t="s">
        <v>3</v>
      </c>
      <c r="GB47" s="2"/>
      <c r="GC47" s="2"/>
      <c r="GD47" s="2">
        <v>1</v>
      </c>
      <c r="GE47" s="2"/>
      <c r="GF47" s="2">
        <v>190354881</v>
      </c>
      <c r="GG47" s="2">
        <v>2</v>
      </c>
      <c r="GH47" s="2">
        <v>1</v>
      </c>
      <c r="GI47" s="2">
        <v>-2</v>
      </c>
      <c r="GJ47" s="2">
        <v>0</v>
      </c>
      <c r="GK47" s="2">
        <v>0</v>
      </c>
      <c r="GL47" s="2">
        <f t="shared" si="43"/>
        <v>0</v>
      </c>
      <c r="GM47" s="2">
        <f t="shared" si="44"/>
        <v>40</v>
      </c>
      <c r="GN47" s="2">
        <f t="shared" si="45"/>
        <v>40</v>
      </c>
      <c r="GO47" s="2">
        <f t="shared" si="46"/>
        <v>0</v>
      </c>
      <c r="GP47" s="2">
        <f t="shared" si="47"/>
        <v>0</v>
      </c>
      <c r="GQ47" s="2"/>
      <c r="GR47" s="2">
        <v>0</v>
      </c>
      <c r="GS47" s="2">
        <v>3</v>
      </c>
      <c r="GT47" s="2">
        <v>0</v>
      </c>
      <c r="GU47" s="2" t="s">
        <v>3</v>
      </c>
      <c r="GV47" s="2">
        <f t="shared" si="48"/>
        <v>0</v>
      </c>
      <c r="GW47" s="2">
        <v>1</v>
      </c>
      <c r="GX47" s="2">
        <f t="shared" si="49"/>
        <v>0</v>
      </c>
      <c r="GY47" s="2"/>
      <c r="GZ47" s="2"/>
      <c r="HA47" s="2">
        <v>0</v>
      </c>
      <c r="HB47" s="2">
        <v>0</v>
      </c>
      <c r="HC47" s="2">
        <f t="shared" si="50"/>
        <v>0</v>
      </c>
      <c r="HD47" s="2"/>
      <c r="HE47" s="2" t="s">
        <v>3</v>
      </c>
      <c r="HF47" s="2" t="s">
        <v>3</v>
      </c>
      <c r="HG47" s="2"/>
      <c r="HH47" s="2"/>
      <c r="HI47" s="2"/>
      <c r="HJ47" s="2"/>
      <c r="HK47" s="2"/>
      <c r="HL47" s="2"/>
      <c r="HM47" s="2" t="s">
        <v>3</v>
      </c>
      <c r="HN47" s="2" t="s">
        <v>3</v>
      </c>
      <c r="HO47" s="2" t="s">
        <v>3</v>
      </c>
      <c r="HP47" s="2" t="s">
        <v>3</v>
      </c>
      <c r="HQ47" s="2" t="s">
        <v>3</v>
      </c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>
        <v>-1</v>
      </c>
      <c r="IG47" s="2"/>
      <c r="IH47" s="2"/>
      <c r="II47" s="2"/>
      <c r="IJ47" s="2"/>
      <c r="IK47" s="2">
        <v>0</v>
      </c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x14ac:dyDescent="0.2">
      <c r="A48">
        <v>17</v>
      </c>
      <c r="B48">
        <v>1</v>
      </c>
      <c r="C48">
        <f>ROW(SmtRes!A48)</f>
        <v>48</v>
      </c>
      <c r="D48">
        <f>ROW(EtalonRes!A62)</f>
        <v>62</v>
      </c>
      <c r="E48" t="s">
        <v>86</v>
      </c>
      <c r="F48" t="s">
        <v>87</v>
      </c>
      <c r="G48" t="s">
        <v>88</v>
      </c>
      <c r="H48" t="s">
        <v>89</v>
      </c>
      <c r="I48">
        <f>'ТЗ '!E22</f>
        <v>0.02</v>
      </c>
      <c r="J48">
        <v>0</v>
      </c>
      <c r="K48">
        <f>ROUND(0.02,9)</f>
        <v>0.02</v>
      </c>
      <c r="O48">
        <f t="shared" si="14"/>
        <v>451</v>
      </c>
      <c r="P48">
        <f t="shared" si="15"/>
        <v>0</v>
      </c>
      <c r="Q48">
        <f t="shared" si="16"/>
        <v>0</v>
      </c>
      <c r="R48">
        <f t="shared" si="17"/>
        <v>0</v>
      </c>
      <c r="S48">
        <f t="shared" si="18"/>
        <v>451</v>
      </c>
      <c r="T48">
        <f t="shared" si="19"/>
        <v>0</v>
      </c>
      <c r="U48" t="e">
        <f t="shared" si="20"/>
        <v>#REF!</v>
      </c>
      <c r="V48">
        <f t="shared" si="21"/>
        <v>0</v>
      </c>
      <c r="W48">
        <f t="shared" si="22"/>
        <v>0</v>
      </c>
      <c r="X48" t="e">
        <f t="shared" si="23"/>
        <v>#REF!</v>
      </c>
      <c r="Y48" t="e">
        <f t="shared" si="24"/>
        <v>#REF!</v>
      </c>
      <c r="AA48">
        <v>71570244</v>
      </c>
      <c r="AB48">
        <f t="shared" si="25"/>
        <v>593.4</v>
      </c>
      <c r="AC48">
        <f>ROUND((ES48+(SUM(SmtRes!BC47:'SmtRes'!BC48)+SUM(EtalonRes!AL60:'EtalonRes'!AL62))),2)</f>
        <v>0</v>
      </c>
      <c r="AD48">
        <f t="shared" si="26"/>
        <v>0</v>
      </c>
      <c r="AE48">
        <f t="shared" si="27"/>
        <v>0</v>
      </c>
      <c r="AF48">
        <f t="shared" si="28"/>
        <v>593.4</v>
      </c>
      <c r="AG48">
        <f t="shared" si="29"/>
        <v>0</v>
      </c>
      <c r="AH48" t="e">
        <f t="shared" si="30"/>
        <v>#REF!</v>
      </c>
      <c r="AI48">
        <f t="shared" si="31"/>
        <v>0</v>
      </c>
      <c r="AJ48">
        <f t="shared" si="32"/>
        <v>0</v>
      </c>
      <c r="AK48">
        <f>AL48+AM48+AO48</f>
        <v>882.59999999999991</v>
      </c>
      <c r="AL48">
        <v>289.2</v>
      </c>
      <c r="AM48">
        <v>0</v>
      </c>
      <c r="AN48">
        <v>0</v>
      </c>
      <c r="AO48" s="79">
        <f>'1.Лок.смета.и.Акт'!F100</f>
        <v>593.4</v>
      </c>
      <c r="AP48">
        <v>0</v>
      </c>
      <c r="AQ48" t="e">
        <f>'ТЗ '!#REF!</f>
        <v>#REF!</v>
      </c>
      <c r="AR48">
        <v>0</v>
      </c>
      <c r="AS48">
        <v>0</v>
      </c>
      <c r="AT48">
        <v>135</v>
      </c>
      <c r="AU48">
        <v>81</v>
      </c>
      <c r="AV48">
        <v>1</v>
      </c>
      <c r="AW48">
        <v>1</v>
      </c>
      <c r="AZ48">
        <v>1</v>
      </c>
      <c r="BA48">
        <f>'1.Лок.смета.и.Акт'!J100</f>
        <v>38</v>
      </c>
      <c r="BB48">
        <v>9.3000000000000007</v>
      </c>
      <c r="BC48">
        <v>7.56</v>
      </c>
      <c r="BD48" t="s">
        <v>3</v>
      </c>
      <c r="BE48" t="s">
        <v>3</v>
      </c>
      <c r="BF48" t="s">
        <v>3</v>
      </c>
      <c r="BG48" t="s">
        <v>3</v>
      </c>
      <c r="BH48">
        <v>0</v>
      </c>
      <c r="BI48">
        <v>1</v>
      </c>
      <c r="BJ48" t="s">
        <v>90</v>
      </c>
      <c r="BM48">
        <v>27001</v>
      </c>
      <c r="BN48">
        <v>0</v>
      </c>
      <c r="BO48" t="s">
        <v>87</v>
      </c>
      <c r="BP48">
        <v>1</v>
      </c>
      <c r="BQ48">
        <v>1</v>
      </c>
      <c r="BR48">
        <v>0</v>
      </c>
      <c r="BS48">
        <v>19.8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 t="e">
        <f>'ТЗ '!#REF!</f>
        <v>#REF!</v>
      </c>
      <c r="CA48" t="e">
        <f>'ТЗ '!#REF!</f>
        <v>#REF!</v>
      </c>
      <c r="CB48" t="s">
        <v>3</v>
      </c>
      <c r="CE48">
        <v>0</v>
      </c>
      <c r="CF48">
        <v>0</v>
      </c>
      <c r="CG48">
        <v>0</v>
      </c>
      <c r="CM48">
        <v>0</v>
      </c>
      <c r="CN48" t="s">
        <v>3</v>
      </c>
      <c r="CO48">
        <v>0</v>
      </c>
      <c r="CP48">
        <f t="shared" si="33"/>
        <v>451</v>
      </c>
      <c r="CQ48">
        <f t="shared" si="34"/>
        <v>0</v>
      </c>
      <c r="CR48">
        <f t="shared" si="35"/>
        <v>0</v>
      </c>
      <c r="CS48">
        <f t="shared" si="36"/>
        <v>0</v>
      </c>
      <c r="CT48">
        <f t="shared" si="37"/>
        <v>22549.200000000001</v>
      </c>
      <c r="CU48">
        <f t="shared" si="38"/>
        <v>0</v>
      </c>
      <c r="CV48" t="e">
        <f t="shared" si="39"/>
        <v>#REF!</v>
      </c>
      <c r="CW48">
        <f t="shared" si="40"/>
        <v>0</v>
      </c>
      <c r="CX48">
        <f t="shared" si="41"/>
        <v>0</v>
      </c>
      <c r="CY48" t="e">
        <f>(S48+R48)*(BZ48/100)</f>
        <v>#REF!</v>
      </c>
      <c r="CZ48" t="e">
        <f>(S48+R48)*(CA48/100)</f>
        <v>#REF!</v>
      </c>
      <c r="DC48" t="s">
        <v>3</v>
      </c>
      <c r="DD48" t="s">
        <v>3</v>
      </c>
      <c r="DE48" t="s">
        <v>3</v>
      </c>
      <c r="DF48" t="s">
        <v>3</v>
      </c>
      <c r="DG48" t="s">
        <v>3</v>
      </c>
      <c r="DH48" t="s">
        <v>3</v>
      </c>
      <c r="DI48" t="s">
        <v>3</v>
      </c>
      <c r="DJ48" t="s">
        <v>3</v>
      </c>
      <c r="DK48" t="s">
        <v>3</v>
      </c>
      <c r="DL48" t="s">
        <v>3</v>
      </c>
      <c r="DM48" t="s">
        <v>3</v>
      </c>
      <c r="DN48">
        <f>'1.Лок.смета.и.Акт'!E101</f>
        <v>142</v>
      </c>
      <c r="DO48">
        <f>'1.Лок.смета.и.Акт'!E102</f>
        <v>95</v>
      </c>
      <c r="DP48">
        <v>1</v>
      </c>
      <c r="DQ48">
        <v>1</v>
      </c>
      <c r="DU48">
        <v>1013</v>
      </c>
      <c r="DV48" t="s">
        <v>89</v>
      </c>
      <c r="DW48" t="str">
        <f>'ТЗ '!D22</f>
        <v>100 знаков</v>
      </c>
      <c r="DX48">
        <v>1</v>
      </c>
      <c r="DZ48" t="s">
        <v>3</v>
      </c>
      <c r="EA48" t="s">
        <v>3</v>
      </c>
      <c r="EB48" t="s">
        <v>3</v>
      </c>
      <c r="EC48" t="s">
        <v>3</v>
      </c>
      <c r="EE48">
        <v>66511559</v>
      </c>
      <c r="EF48">
        <v>1</v>
      </c>
      <c r="EG48" t="s">
        <v>27</v>
      </c>
      <c r="EH48">
        <v>0</v>
      </c>
      <c r="EI48" t="s">
        <v>3</v>
      </c>
      <c r="EJ48">
        <v>1</v>
      </c>
      <c r="EK48">
        <v>27001</v>
      </c>
      <c r="EL48" t="s">
        <v>28</v>
      </c>
      <c r="EM48" t="s">
        <v>29</v>
      </c>
      <c r="EO48" t="s">
        <v>3</v>
      </c>
      <c r="EQ48">
        <v>131072</v>
      </c>
      <c r="ER48">
        <f>ES48+ET48+EV48</f>
        <v>882.59999999999991</v>
      </c>
      <c r="ES48">
        <v>289.2</v>
      </c>
      <c r="ET48">
        <v>0</v>
      </c>
      <c r="EU48">
        <v>0</v>
      </c>
      <c r="EV48" s="79">
        <f>'1.Лок.смета.и.Акт'!F100</f>
        <v>593.4</v>
      </c>
      <c r="EW48" t="e">
        <f>'ТЗ '!#REF!</f>
        <v>#REF!</v>
      </c>
      <c r="EX48">
        <v>0</v>
      </c>
      <c r="EY48">
        <v>1</v>
      </c>
      <c r="FQ48">
        <v>0</v>
      </c>
      <c r="FR48">
        <f t="shared" si="42"/>
        <v>0</v>
      </c>
      <c r="FS48">
        <v>0</v>
      </c>
      <c r="FX48">
        <v>142</v>
      </c>
      <c r="FY48">
        <v>95</v>
      </c>
      <c r="GA48" t="s">
        <v>3</v>
      </c>
      <c r="GD48">
        <v>1</v>
      </c>
      <c r="GF48">
        <v>190354881</v>
      </c>
      <c r="GG48">
        <v>2</v>
      </c>
      <c r="GH48">
        <v>1</v>
      </c>
      <c r="GI48">
        <v>2</v>
      </c>
      <c r="GJ48">
        <v>0</v>
      </c>
      <c r="GK48">
        <v>0</v>
      </c>
      <c r="GL48">
        <f t="shared" si="43"/>
        <v>0</v>
      </c>
      <c r="GM48" t="e">
        <f t="shared" si="44"/>
        <v>#REF!</v>
      </c>
      <c r="GN48" t="e">
        <f t="shared" si="45"/>
        <v>#REF!</v>
      </c>
      <c r="GO48">
        <f t="shared" si="46"/>
        <v>0</v>
      </c>
      <c r="GP48">
        <f t="shared" si="47"/>
        <v>0</v>
      </c>
      <c r="GR48">
        <v>0</v>
      </c>
      <c r="GS48">
        <v>3</v>
      </c>
      <c r="GT48">
        <v>0</v>
      </c>
      <c r="GU48" t="s">
        <v>3</v>
      </c>
      <c r="GV48">
        <f t="shared" si="48"/>
        <v>0</v>
      </c>
      <c r="GW48">
        <v>1010.5</v>
      </c>
      <c r="GX48">
        <f t="shared" si="49"/>
        <v>0</v>
      </c>
      <c r="HA48">
        <v>0</v>
      </c>
      <c r="HB48">
        <v>0</v>
      </c>
      <c r="HC48">
        <f t="shared" si="50"/>
        <v>0</v>
      </c>
      <c r="HE48" t="s">
        <v>3</v>
      </c>
      <c r="HF48" t="s">
        <v>3</v>
      </c>
      <c r="HM48" t="s">
        <v>3</v>
      </c>
      <c r="HN48" t="s">
        <v>3</v>
      </c>
      <c r="HO48" t="s">
        <v>3</v>
      </c>
      <c r="HP48" t="s">
        <v>3</v>
      </c>
      <c r="HQ48" t="s">
        <v>3</v>
      </c>
      <c r="IF48">
        <v>-1</v>
      </c>
      <c r="IK48">
        <v>0</v>
      </c>
    </row>
    <row r="49" spans="1:255" x14ac:dyDescent="0.2">
      <c r="A49" s="2">
        <v>18</v>
      </c>
      <c r="B49" s="2">
        <v>1</v>
      </c>
      <c r="C49" s="2">
        <v>46</v>
      </c>
      <c r="D49" s="2"/>
      <c r="E49" s="2" t="s">
        <v>91</v>
      </c>
      <c r="F49" s="2" t="s">
        <v>92</v>
      </c>
      <c r="G49" s="2" t="s">
        <v>93</v>
      </c>
      <c r="H49" s="2" t="s">
        <v>69</v>
      </c>
      <c r="I49" s="2">
        <f>I47*J49</f>
        <v>2</v>
      </c>
      <c r="J49" s="2">
        <v>100</v>
      </c>
      <c r="K49" s="2">
        <v>100</v>
      </c>
      <c r="L49" s="2"/>
      <c r="M49" s="2"/>
      <c r="N49" s="2"/>
      <c r="O49" s="2">
        <f t="shared" si="14"/>
        <v>622</v>
      </c>
      <c r="P49" s="2">
        <f t="shared" si="15"/>
        <v>622</v>
      </c>
      <c r="Q49" s="2">
        <f t="shared" si="16"/>
        <v>0</v>
      </c>
      <c r="R49" s="2">
        <f t="shared" si="17"/>
        <v>0</v>
      </c>
      <c r="S49" s="2">
        <f t="shared" si="18"/>
        <v>0</v>
      </c>
      <c r="T49" s="2">
        <f t="shared" si="19"/>
        <v>0</v>
      </c>
      <c r="U49" s="2">
        <f t="shared" si="20"/>
        <v>0</v>
      </c>
      <c r="V49" s="2">
        <f t="shared" si="21"/>
        <v>0</v>
      </c>
      <c r="W49" s="2">
        <f t="shared" si="22"/>
        <v>4</v>
      </c>
      <c r="X49" s="2">
        <f t="shared" si="23"/>
        <v>0</v>
      </c>
      <c r="Y49" s="2">
        <f t="shared" si="24"/>
        <v>0</v>
      </c>
      <c r="Z49" s="2"/>
      <c r="AA49" s="2">
        <v>71570243</v>
      </c>
      <c r="AB49" s="2">
        <f t="shared" si="25"/>
        <v>311.23</v>
      </c>
      <c r="AC49" s="2">
        <f>ROUND((ES49),2)</f>
        <v>311.23</v>
      </c>
      <c r="AD49" s="2">
        <f t="shared" si="26"/>
        <v>0</v>
      </c>
      <c r="AE49" s="2">
        <f t="shared" si="27"/>
        <v>0</v>
      </c>
      <c r="AF49" s="2">
        <f t="shared" si="28"/>
        <v>0</v>
      </c>
      <c r="AG49" s="2">
        <f t="shared" si="29"/>
        <v>0</v>
      </c>
      <c r="AH49" s="2">
        <f t="shared" si="30"/>
        <v>0</v>
      </c>
      <c r="AI49" s="2">
        <f t="shared" si="31"/>
        <v>0</v>
      </c>
      <c r="AJ49" s="2">
        <f t="shared" si="32"/>
        <v>1.82</v>
      </c>
      <c r="AK49" s="2">
        <v>311.23</v>
      </c>
      <c r="AL49" s="103">
        <f>'1.Лок.смета.и.Акт'!F104</f>
        <v>311.23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1.82</v>
      </c>
      <c r="AT49" s="2">
        <v>0</v>
      </c>
      <c r="AU49" s="2">
        <v>0</v>
      </c>
      <c r="AV49" s="2">
        <v>1</v>
      </c>
      <c r="AW49" s="2">
        <v>1</v>
      </c>
      <c r="AX49" s="2"/>
      <c r="AY49" s="2"/>
      <c r="AZ49" s="2">
        <v>1</v>
      </c>
      <c r="BA49" s="2">
        <v>1</v>
      </c>
      <c r="BB49" s="2">
        <v>1</v>
      </c>
      <c r="BC49" s="2">
        <v>1</v>
      </c>
      <c r="BD49" s="2" t="s">
        <v>3</v>
      </c>
      <c r="BE49" s="2" t="s">
        <v>3</v>
      </c>
      <c r="BF49" s="2" t="s">
        <v>3</v>
      </c>
      <c r="BG49" s="2" t="s">
        <v>3</v>
      </c>
      <c r="BH49" s="2">
        <v>3</v>
      </c>
      <c r="BI49" s="2">
        <v>1</v>
      </c>
      <c r="BJ49" s="2" t="s">
        <v>94</v>
      </c>
      <c r="BK49" s="2"/>
      <c r="BL49" s="2"/>
      <c r="BM49" s="2">
        <v>500001</v>
      </c>
      <c r="BN49" s="2">
        <v>0</v>
      </c>
      <c r="BO49" s="2" t="s">
        <v>3</v>
      </c>
      <c r="BP49" s="2">
        <v>0</v>
      </c>
      <c r="BQ49" s="2">
        <v>20</v>
      </c>
      <c r="BR49" s="2">
        <v>0</v>
      </c>
      <c r="BS49" s="2">
        <v>1</v>
      </c>
      <c r="BT49" s="2">
        <v>1</v>
      </c>
      <c r="BU49" s="2">
        <v>1</v>
      </c>
      <c r="BV49" s="2">
        <v>1</v>
      </c>
      <c r="BW49" s="2">
        <v>1</v>
      </c>
      <c r="BX49" s="2">
        <v>1</v>
      </c>
      <c r="BY49" s="2" t="s">
        <v>3</v>
      </c>
      <c r="BZ49" s="2">
        <v>0</v>
      </c>
      <c r="CA49" s="2">
        <v>0</v>
      </c>
      <c r="CB49" s="2" t="s">
        <v>3</v>
      </c>
      <c r="CC49" s="2"/>
      <c r="CD49" s="2"/>
      <c r="CE49" s="2">
        <v>0</v>
      </c>
      <c r="CF49" s="2">
        <v>0</v>
      </c>
      <c r="CG49" s="2">
        <v>0</v>
      </c>
      <c r="CH49" s="2"/>
      <c r="CI49" s="2"/>
      <c r="CJ49" s="2"/>
      <c r="CK49" s="2"/>
      <c r="CL49" s="2"/>
      <c r="CM49" s="2">
        <v>0</v>
      </c>
      <c r="CN49" s="2" t="s">
        <v>3</v>
      </c>
      <c r="CO49" s="2">
        <v>0</v>
      </c>
      <c r="CP49" s="2">
        <f t="shared" si="33"/>
        <v>622</v>
      </c>
      <c r="CQ49" s="2">
        <f t="shared" si="34"/>
        <v>311.23</v>
      </c>
      <c r="CR49" s="2">
        <f t="shared" si="35"/>
        <v>0</v>
      </c>
      <c r="CS49" s="2">
        <f t="shared" si="36"/>
        <v>0</v>
      </c>
      <c r="CT49" s="2">
        <f t="shared" si="37"/>
        <v>0</v>
      </c>
      <c r="CU49" s="2">
        <f t="shared" si="38"/>
        <v>0</v>
      </c>
      <c r="CV49" s="2">
        <f t="shared" si="39"/>
        <v>0</v>
      </c>
      <c r="CW49" s="2">
        <f t="shared" si="40"/>
        <v>0</v>
      </c>
      <c r="CX49" s="2">
        <f t="shared" si="41"/>
        <v>1.82</v>
      </c>
      <c r="CY49" s="2">
        <f>(((S49+(R49*IF(0,0,1)))*AT49)/100)</f>
        <v>0</v>
      </c>
      <c r="CZ49" s="2">
        <f>(((S49+(R49*IF(0,0,1)))*AU49)/100)</f>
        <v>0</v>
      </c>
      <c r="DA49" s="2"/>
      <c r="DB49" s="2"/>
      <c r="DC49" s="2" t="s">
        <v>3</v>
      </c>
      <c r="DD49" s="2" t="s">
        <v>3</v>
      </c>
      <c r="DE49" s="2" t="s">
        <v>3</v>
      </c>
      <c r="DF49" s="2" t="s">
        <v>3</v>
      </c>
      <c r="DG49" s="2" t="s">
        <v>3</v>
      </c>
      <c r="DH49" s="2" t="s">
        <v>3</v>
      </c>
      <c r="DI49" s="2" t="s">
        <v>3</v>
      </c>
      <c r="DJ49" s="2" t="s">
        <v>3</v>
      </c>
      <c r="DK49" s="2" t="s">
        <v>3</v>
      </c>
      <c r="DL49" s="2" t="s">
        <v>3</v>
      </c>
      <c r="DM49" s="2" t="s">
        <v>3</v>
      </c>
      <c r="DN49" s="2">
        <v>0</v>
      </c>
      <c r="DO49" s="2">
        <v>0</v>
      </c>
      <c r="DP49" s="2">
        <v>1</v>
      </c>
      <c r="DQ49" s="2">
        <v>1</v>
      </c>
      <c r="DR49" s="2"/>
      <c r="DS49" s="2"/>
      <c r="DT49" s="2"/>
      <c r="DU49" s="2">
        <v>1010</v>
      </c>
      <c r="DV49" s="2" t="s">
        <v>69</v>
      </c>
      <c r="DW49" s="2" t="s">
        <v>69</v>
      </c>
      <c r="DX49" s="2">
        <v>1</v>
      </c>
      <c r="DY49" s="2"/>
      <c r="DZ49" s="2" t="s">
        <v>3</v>
      </c>
      <c r="EA49" s="2" t="s">
        <v>3</v>
      </c>
      <c r="EB49" s="2" t="s">
        <v>3</v>
      </c>
      <c r="EC49" s="2" t="s">
        <v>3</v>
      </c>
      <c r="ED49" s="2"/>
      <c r="EE49" s="2">
        <v>66511700</v>
      </c>
      <c r="EF49" s="2">
        <v>20</v>
      </c>
      <c r="EG49" s="2" t="s">
        <v>35</v>
      </c>
      <c r="EH49" s="2">
        <v>0</v>
      </c>
      <c r="EI49" s="2" t="s">
        <v>3</v>
      </c>
      <c r="EJ49" s="2">
        <v>1</v>
      </c>
      <c r="EK49" s="2">
        <v>500001</v>
      </c>
      <c r="EL49" s="2" t="s">
        <v>36</v>
      </c>
      <c r="EM49" s="2" t="s">
        <v>37</v>
      </c>
      <c r="EN49" s="2"/>
      <c r="EO49" s="2" t="s">
        <v>3</v>
      </c>
      <c r="EP49" s="2"/>
      <c r="EQ49" s="2">
        <v>0</v>
      </c>
      <c r="ER49" s="2">
        <v>311.23</v>
      </c>
      <c r="ES49" s="103">
        <f>'1.Лок.смета.и.Акт'!F104</f>
        <v>311.23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>
        <v>0</v>
      </c>
      <c r="FR49" s="2">
        <f t="shared" si="42"/>
        <v>0</v>
      </c>
      <c r="FS49" s="2">
        <v>0</v>
      </c>
      <c r="FT49" s="2"/>
      <c r="FU49" s="2"/>
      <c r="FV49" s="2"/>
      <c r="FW49" s="2"/>
      <c r="FX49" s="2">
        <v>0</v>
      </c>
      <c r="FY49" s="2">
        <v>0</v>
      </c>
      <c r="FZ49" s="2"/>
      <c r="GA49" s="2" t="s">
        <v>3</v>
      </c>
      <c r="GB49" s="2"/>
      <c r="GC49" s="2"/>
      <c r="GD49" s="2">
        <v>1</v>
      </c>
      <c r="GE49" s="2"/>
      <c r="GF49" s="2">
        <v>-1835971028</v>
      </c>
      <c r="GG49" s="2">
        <v>2</v>
      </c>
      <c r="GH49" s="2">
        <v>1</v>
      </c>
      <c r="GI49" s="2">
        <v>-2</v>
      </c>
      <c r="GJ49" s="2">
        <v>0</v>
      </c>
      <c r="GK49" s="2">
        <v>0</v>
      </c>
      <c r="GL49" s="2">
        <f t="shared" si="43"/>
        <v>0</v>
      </c>
      <c r="GM49" s="2">
        <f t="shared" si="44"/>
        <v>622</v>
      </c>
      <c r="GN49" s="2">
        <f t="shared" si="45"/>
        <v>622</v>
      </c>
      <c r="GO49" s="2">
        <f t="shared" si="46"/>
        <v>0</v>
      </c>
      <c r="GP49" s="2">
        <f t="shared" si="47"/>
        <v>0</v>
      </c>
      <c r="GQ49" s="2"/>
      <c r="GR49" s="2">
        <v>0</v>
      </c>
      <c r="GS49" s="2">
        <v>3</v>
      </c>
      <c r="GT49" s="2">
        <v>0</v>
      </c>
      <c r="GU49" s="2" t="s">
        <v>3</v>
      </c>
      <c r="GV49" s="2">
        <f t="shared" si="48"/>
        <v>0</v>
      </c>
      <c r="GW49" s="2">
        <v>1</v>
      </c>
      <c r="GX49" s="2">
        <f t="shared" si="49"/>
        <v>0</v>
      </c>
      <c r="GY49" s="2"/>
      <c r="GZ49" s="2"/>
      <c r="HA49" s="2">
        <v>0</v>
      </c>
      <c r="HB49" s="2">
        <v>0</v>
      </c>
      <c r="HC49" s="2">
        <f t="shared" si="50"/>
        <v>0</v>
      </c>
      <c r="HD49" s="2"/>
      <c r="HE49" s="2" t="s">
        <v>3</v>
      </c>
      <c r="HF49" s="2" t="s">
        <v>3</v>
      </c>
      <c r="HG49" s="2"/>
      <c r="HH49" s="2"/>
      <c r="HI49" s="2"/>
      <c r="HJ49" s="2"/>
      <c r="HK49" s="2"/>
      <c r="HL49" s="2"/>
      <c r="HM49" s="2" t="s">
        <v>3</v>
      </c>
      <c r="HN49" s="2" t="s">
        <v>3</v>
      </c>
      <c r="HO49" s="2" t="s">
        <v>3</v>
      </c>
      <c r="HP49" s="2" t="s">
        <v>3</v>
      </c>
      <c r="HQ49" s="2" t="s">
        <v>3</v>
      </c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>
        <v>-1</v>
      </c>
      <c r="IG49" s="2"/>
      <c r="IH49" s="2"/>
      <c r="II49" s="2"/>
      <c r="IJ49" s="2"/>
      <c r="IK49" s="2">
        <v>0</v>
      </c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x14ac:dyDescent="0.2">
      <c r="A50">
        <v>18</v>
      </c>
      <c r="B50">
        <v>1</v>
      </c>
      <c r="C50">
        <v>48</v>
      </c>
      <c r="E50" t="s">
        <v>91</v>
      </c>
      <c r="F50" t="e">
        <f>'ТЗ '!#REF!</f>
        <v>#REF!</v>
      </c>
      <c r="G50" t="s">
        <v>93</v>
      </c>
      <c r="H50" t="s">
        <v>69</v>
      </c>
      <c r="I50">
        <f>I48*J50</f>
        <v>2</v>
      </c>
      <c r="J50" s="211">
        <f>'5.Ведомость_списания'!F39</f>
        <v>100</v>
      </c>
      <c r="K50">
        <v>100</v>
      </c>
      <c r="O50">
        <f t="shared" si="14"/>
        <v>1262</v>
      </c>
      <c r="P50">
        <f t="shared" si="15"/>
        <v>1262</v>
      </c>
      <c r="Q50">
        <f t="shared" si="16"/>
        <v>0</v>
      </c>
      <c r="R50">
        <f t="shared" si="17"/>
        <v>0</v>
      </c>
      <c r="S50">
        <f t="shared" si="18"/>
        <v>0</v>
      </c>
      <c r="T50">
        <f t="shared" si="19"/>
        <v>0</v>
      </c>
      <c r="U50">
        <f t="shared" si="20"/>
        <v>0</v>
      </c>
      <c r="V50">
        <f t="shared" si="21"/>
        <v>0</v>
      </c>
      <c r="W50">
        <f t="shared" si="22"/>
        <v>4</v>
      </c>
      <c r="X50">
        <f t="shared" si="23"/>
        <v>0</v>
      </c>
      <c r="Y50">
        <f t="shared" si="24"/>
        <v>0</v>
      </c>
      <c r="AA50">
        <v>71570244</v>
      </c>
      <c r="AB50">
        <f t="shared" si="25"/>
        <v>83.47</v>
      </c>
      <c r="AC50">
        <f>ROUND((ES50),2)</f>
        <v>83.47</v>
      </c>
      <c r="AD50">
        <f t="shared" si="26"/>
        <v>0</v>
      </c>
      <c r="AE50">
        <f t="shared" si="27"/>
        <v>0</v>
      </c>
      <c r="AF50">
        <f t="shared" si="28"/>
        <v>0</v>
      </c>
      <c r="AG50">
        <f t="shared" si="29"/>
        <v>0</v>
      </c>
      <c r="AH50">
        <f t="shared" si="30"/>
        <v>0</v>
      </c>
      <c r="AI50">
        <f t="shared" si="31"/>
        <v>0</v>
      </c>
      <c r="AJ50">
        <f t="shared" si="32"/>
        <v>1.82</v>
      </c>
      <c r="AK50">
        <v>83.47</v>
      </c>
      <c r="AL50">
        <v>83.47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1.82</v>
      </c>
      <c r="AT50">
        <v>0</v>
      </c>
      <c r="AU50">
        <v>0</v>
      </c>
      <c r="AV50">
        <v>1</v>
      </c>
      <c r="AW50">
        <v>1</v>
      </c>
      <c r="AZ50">
        <v>1</v>
      </c>
      <c r="BA50">
        <v>1</v>
      </c>
      <c r="BB50">
        <v>1</v>
      </c>
      <c r="BC50">
        <v>7.56</v>
      </c>
      <c r="BD50" t="s">
        <v>3</v>
      </c>
      <c r="BE50" t="s">
        <v>3</v>
      </c>
      <c r="BF50" t="s">
        <v>3</v>
      </c>
      <c r="BG50" t="s">
        <v>3</v>
      </c>
      <c r="BH50">
        <v>3</v>
      </c>
      <c r="BI50">
        <v>1</v>
      </c>
      <c r="BJ50" t="s">
        <v>94</v>
      </c>
      <c r="BM50">
        <v>500001</v>
      </c>
      <c r="BN50">
        <v>0</v>
      </c>
      <c r="BO50" t="s">
        <v>3</v>
      </c>
      <c r="BP50">
        <v>0</v>
      </c>
      <c r="BQ50">
        <v>20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0</v>
      </c>
      <c r="CA50">
        <v>0</v>
      </c>
      <c r="CB50" t="s">
        <v>3</v>
      </c>
      <c r="CE50">
        <v>0</v>
      </c>
      <c r="CF50">
        <v>0</v>
      </c>
      <c r="CG50">
        <v>0</v>
      </c>
      <c r="CM50">
        <v>0</v>
      </c>
      <c r="CN50" t="s">
        <v>3</v>
      </c>
      <c r="CO50">
        <v>0</v>
      </c>
      <c r="CP50">
        <f t="shared" si="33"/>
        <v>1262</v>
      </c>
      <c r="CQ50">
        <f t="shared" si="34"/>
        <v>631.03319999999997</v>
      </c>
      <c r="CR50">
        <f t="shared" si="35"/>
        <v>0</v>
      </c>
      <c r="CS50">
        <f t="shared" si="36"/>
        <v>0</v>
      </c>
      <c r="CT50">
        <f t="shared" si="37"/>
        <v>0</v>
      </c>
      <c r="CU50">
        <f t="shared" si="38"/>
        <v>0</v>
      </c>
      <c r="CV50">
        <f t="shared" si="39"/>
        <v>0</v>
      </c>
      <c r="CW50">
        <f t="shared" si="40"/>
        <v>0</v>
      </c>
      <c r="CX50">
        <f t="shared" si="41"/>
        <v>1.82</v>
      </c>
      <c r="CY50">
        <f>(S50+R50)*(BZ50/100)</f>
        <v>0</v>
      </c>
      <c r="CZ50">
        <f>(S50+R50)*(CA50/100)</f>
        <v>0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U50">
        <v>1010</v>
      </c>
      <c r="DV50" t="s">
        <v>69</v>
      </c>
      <c r="DW50" t="e">
        <f>'ТЗ '!#REF!</f>
        <v>#REF!</v>
      </c>
      <c r="DX50">
        <v>1</v>
      </c>
      <c r="DZ50" t="s">
        <v>3</v>
      </c>
      <c r="EA50" t="s">
        <v>3</v>
      </c>
      <c r="EB50" t="s">
        <v>3</v>
      </c>
      <c r="EC50" t="s">
        <v>3</v>
      </c>
      <c r="EE50">
        <v>66511700</v>
      </c>
      <c r="EF50">
        <v>20</v>
      </c>
      <c r="EG50" t="s">
        <v>35</v>
      </c>
      <c r="EH50">
        <v>0</v>
      </c>
      <c r="EI50" t="s">
        <v>3</v>
      </c>
      <c r="EJ50">
        <v>1</v>
      </c>
      <c r="EK50">
        <v>500001</v>
      </c>
      <c r="EL50" t="s">
        <v>36</v>
      </c>
      <c r="EM50" t="s">
        <v>37</v>
      </c>
      <c r="EO50" t="s">
        <v>3</v>
      </c>
      <c r="EQ50">
        <v>0</v>
      </c>
      <c r="ER50">
        <v>600</v>
      </c>
      <c r="ES50">
        <v>83.47</v>
      </c>
      <c r="ET50">
        <v>0</v>
      </c>
      <c r="EU50">
        <v>0</v>
      </c>
      <c r="EV50">
        <v>0</v>
      </c>
      <c r="EW50">
        <v>0</v>
      </c>
      <c r="EX50">
        <v>0</v>
      </c>
      <c r="EZ50">
        <v>5</v>
      </c>
      <c r="FC50">
        <v>0</v>
      </c>
      <c r="FD50">
        <v>18</v>
      </c>
      <c r="FF50">
        <v>600</v>
      </c>
      <c r="FQ50">
        <v>0</v>
      </c>
      <c r="FR50">
        <f t="shared" si="42"/>
        <v>0</v>
      </c>
      <c r="FS50">
        <v>0</v>
      </c>
      <c r="FX50">
        <v>0</v>
      </c>
      <c r="FY50">
        <v>0</v>
      </c>
      <c r="GA50" t="s">
        <v>95</v>
      </c>
      <c r="GD50">
        <v>1</v>
      </c>
      <c r="GF50">
        <v>-1835971028</v>
      </c>
      <c r="GG50">
        <v>2</v>
      </c>
      <c r="GH50">
        <v>3</v>
      </c>
      <c r="GI50">
        <v>5</v>
      </c>
      <c r="GJ50">
        <v>0</v>
      </c>
      <c r="GK50">
        <v>0</v>
      </c>
      <c r="GL50">
        <f t="shared" si="43"/>
        <v>0</v>
      </c>
      <c r="GM50">
        <f t="shared" si="44"/>
        <v>1262</v>
      </c>
      <c r="GN50">
        <f t="shared" si="45"/>
        <v>1262</v>
      </c>
      <c r="GO50">
        <f t="shared" si="46"/>
        <v>0</v>
      </c>
      <c r="GP50">
        <f t="shared" si="47"/>
        <v>0</v>
      </c>
      <c r="GR50">
        <v>1</v>
      </c>
      <c r="GS50">
        <v>1</v>
      </c>
      <c r="GT50">
        <v>0</v>
      </c>
      <c r="GU50" t="s">
        <v>3</v>
      </c>
      <c r="GV50">
        <f t="shared" si="48"/>
        <v>0</v>
      </c>
      <c r="GW50">
        <v>1</v>
      </c>
      <c r="GX50">
        <f t="shared" si="49"/>
        <v>0</v>
      </c>
      <c r="HA50">
        <v>0</v>
      </c>
      <c r="HB50">
        <v>0</v>
      </c>
      <c r="HC50">
        <f t="shared" si="50"/>
        <v>0</v>
      </c>
      <c r="HE50" t="s">
        <v>39</v>
      </c>
      <c r="HF50" t="s">
        <v>40</v>
      </c>
      <c r="HM50" t="s">
        <v>3</v>
      </c>
      <c r="HN50" t="s">
        <v>3</v>
      </c>
      <c r="HO50" t="s">
        <v>3</v>
      </c>
      <c r="HP50" t="s">
        <v>3</v>
      </c>
      <c r="HQ50" t="s">
        <v>3</v>
      </c>
      <c r="IF50">
        <v>-1</v>
      </c>
      <c r="IK50">
        <v>0</v>
      </c>
    </row>
    <row r="51" spans="1:255" x14ac:dyDescent="0.2">
      <c r="IF51">
        <v>-1</v>
      </c>
    </row>
    <row r="52" spans="1:255" x14ac:dyDescent="0.2">
      <c r="A52" s="3">
        <v>51</v>
      </c>
      <c r="B52" s="3">
        <f>B20</f>
        <v>1</v>
      </c>
      <c r="C52" s="3">
        <f>A20</f>
        <v>3</v>
      </c>
      <c r="D52" s="3">
        <f>ROW(A20)</f>
        <v>20</v>
      </c>
      <c r="E52" s="3"/>
      <c r="F52" s="3" t="str">
        <f>IF(F20&lt;&gt;"",F20,"")</f>
        <v>6.2.1.2.3</v>
      </c>
      <c r="G52" s="3" t="str">
        <f>IF(G20&lt;&gt;"",G20,"")</f>
        <v>Разметка стоянок и монтаж дорожных знаков</v>
      </c>
      <c r="H52" s="3">
        <v>0</v>
      </c>
      <c r="I52" s="3"/>
      <c r="J52" s="3"/>
      <c r="K52" s="3"/>
      <c r="L52" s="3"/>
      <c r="M52" s="3"/>
      <c r="N52" s="3"/>
      <c r="O52" s="3">
        <f t="shared" ref="O52:T52" si="52">ROUND(AB52,0)</f>
        <v>3493</v>
      </c>
      <c r="P52" s="3">
        <f t="shared" si="52"/>
        <v>3207</v>
      </c>
      <c r="Q52" s="3">
        <f t="shared" si="52"/>
        <v>198</v>
      </c>
      <c r="R52" s="3">
        <f t="shared" si="52"/>
        <v>26</v>
      </c>
      <c r="S52" s="3">
        <f t="shared" si="52"/>
        <v>88</v>
      </c>
      <c r="T52" s="3">
        <f t="shared" si="52"/>
        <v>0</v>
      </c>
      <c r="U52" s="3">
        <f>AH52</f>
        <v>10.562478</v>
      </c>
      <c r="V52" s="3">
        <f>AI52</f>
        <v>2.04542</v>
      </c>
      <c r="W52" s="3">
        <f>ROUND(AJ52,0)</f>
        <v>18</v>
      </c>
      <c r="X52" s="3">
        <f>ROUND(AK52,0)</f>
        <v>162</v>
      </c>
      <c r="Y52" s="3">
        <f>ROUND(AL52,0)</f>
        <v>108</v>
      </c>
      <c r="Z52" s="3"/>
      <c r="AA52" s="3"/>
      <c r="AB52" s="3">
        <f>ROUND(SUMIF(AA24:AA50,"=71570243",O24:O50),0)</f>
        <v>3493</v>
      </c>
      <c r="AC52" s="3">
        <f>ROUND(SUMIF(AA24:AA50,"=71570243",P24:P50),0)</f>
        <v>3207</v>
      </c>
      <c r="AD52" s="3">
        <f>ROUND(SUMIF(AA24:AA50,"=71570243",Q24:Q50),0)</f>
        <v>198</v>
      </c>
      <c r="AE52" s="3">
        <f>ROUND(SUMIF(AA24:AA50,"=71570243",R24:R50),0)</f>
        <v>26</v>
      </c>
      <c r="AF52" s="3">
        <f>ROUND(SUMIF(AA24:AA50,"=71570243",S24:S50),0)</f>
        <v>88</v>
      </c>
      <c r="AG52" s="3">
        <f>ROUND(SUMIF(AA24:AA50,"=71570243",T24:T50),0)</f>
        <v>0</v>
      </c>
      <c r="AH52" s="3">
        <f>SUMIF(AA24:AA50,"=71570243",U24:U50)</f>
        <v>10.562478</v>
      </c>
      <c r="AI52" s="3">
        <f>SUMIF(AA24:AA50,"=71570243",V24:V50)</f>
        <v>2.04542</v>
      </c>
      <c r="AJ52" s="3">
        <f>ROUND(SUMIF(AA24:AA50,"=71570243",W24:W50),0)</f>
        <v>18</v>
      </c>
      <c r="AK52" s="3">
        <f>ROUND(SUMIF(AA24:AA50,"=71570243",X24:X50),0)</f>
        <v>162</v>
      </c>
      <c r="AL52" s="3">
        <f>ROUND(SUMIF(AA24:AA50,"=71570243",Y24:Y50),0)</f>
        <v>108</v>
      </c>
      <c r="AM52" s="3"/>
      <c r="AN52" s="3"/>
      <c r="AO52" s="3">
        <f t="shared" ref="AO52:BD52" si="53">ROUND(BX52,0)</f>
        <v>0</v>
      </c>
      <c r="AP52" s="3">
        <f t="shared" si="53"/>
        <v>0</v>
      </c>
      <c r="AQ52" s="3">
        <f t="shared" si="53"/>
        <v>0</v>
      </c>
      <c r="AR52" s="3">
        <f t="shared" si="53"/>
        <v>3763</v>
      </c>
      <c r="AS52" s="3">
        <f t="shared" si="53"/>
        <v>3763</v>
      </c>
      <c r="AT52" s="3">
        <f t="shared" si="53"/>
        <v>0</v>
      </c>
      <c r="AU52" s="3">
        <f t="shared" si="53"/>
        <v>0</v>
      </c>
      <c r="AV52" s="3">
        <f t="shared" si="53"/>
        <v>3207</v>
      </c>
      <c r="AW52" s="3">
        <f t="shared" si="53"/>
        <v>3207</v>
      </c>
      <c r="AX52" s="3">
        <f t="shared" si="53"/>
        <v>0</v>
      </c>
      <c r="AY52" s="3">
        <f t="shared" si="53"/>
        <v>3207</v>
      </c>
      <c r="AZ52" s="3">
        <f t="shared" si="53"/>
        <v>0</v>
      </c>
      <c r="BA52" s="3">
        <f t="shared" si="53"/>
        <v>0</v>
      </c>
      <c r="BB52" s="3">
        <f t="shared" si="53"/>
        <v>0</v>
      </c>
      <c r="BC52" s="3">
        <f t="shared" si="53"/>
        <v>0</v>
      </c>
      <c r="BD52" s="3">
        <f t="shared" si="53"/>
        <v>0</v>
      </c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>
        <f>ROUND(SUMIF(AA24:AA50,"=71570243",FQ24:FQ50),0)</f>
        <v>0</v>
      </c>
      <c r="BY52" s="3">
        <f>ROUND(SUMIF(AA24:AA50,"=71570243",FR24:FR50),0)</f>
        <v>0</v>
      </c>
      <c r="BZ52" s="3">
        <f>ROUND(SUMIF(AA24:AA50,"=71570243",GL24:GL50),0)</f>
        <v>0</v>
      </c>
      <c r="CA52" s="3">
        <f>ROUND(SUMIF(AA24:AA50,"=71570243",GM24:GM50),0)</f>
        <v>3763</v>
      </c>
      <c r="CB52" s="3">
        <f>ROUND(SUMIF(AA24:AA50,"=71570243",GN24:GN50),0)</f>
        <v>3763</v>
      </c>
      <c r="CC52" s="3">
        <f>ROUND(SUMIF(AA24:AA50,"=71570243",GO24:GO50),0)</f>
        <v>0</v>
      </c>
      <c r="CD52" s="3">
        <f>ROUND(SUMIF(AA24:AA50,"=71570243",GP24:GP50),0)</f>
        <v>0</v>
      </c>
      <c r="CE52" s="3">
        <f>AC52-BX52</f>
        <v>3207</v>
      </c>
      <c r="CF52" s="3">
        <f>AC52-BY52</f>
        <v>3207</v>
      </c>
      <c r="CG52" s="3">
        <f>BX52-BZ52</f>
        <v>0</v>
      </c>
      <c r="CH52" s="3">
        <f>AC52-BX52-BY52+BZ52</f>
        <v>3207</v>
      </c>
      <c r="CI52" s="3">
        <f>BY52-BZ52</f>
        <v>0</v>
      </c>
      <c r="CJ52" s="3">
        <f>ROUND(SUMIF(AA24:AA50,"=71570243",GX24:GX50),0)</f>
        <v>0</v>
      </c>
      <c r="CK52" s="3">
        <f>ROUND(SUMIF(AA24:AA50,"=71570243",GY24:GY50),0)</f>
        <v>0</v>
      </c>
      <c r="CL52" s="3">
        <f>ROUND(SUMIF(AA24:AA50,"=71570243",GZ24:GZ50),0)</f>
        <v>0</v>
      </c>
      <c r="CM52" s="3">
        <f>ROUND(SUMIF(AA24:AA50,"=71570243",HD24:HD50),0)</f>
        <v>0</v>
      </c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4">
        <f t="shared" ref="DG52:DL52" si="54">ROUND(DT52,0)</f>
        <v>18998</v>
      </c>
      <c r="DH52" s="4">
        <f t="shared" si="54"/>
        <v>13801</v>
      </c>
      <c r="DI52" s="4">
        <f t="shared" si="54"/>
        <v>1845</v>
      </c>
      <c r="DJ52" s="4">
        <f t="shared" si="54"/>
        <v>516</v>
      </c>
      <c r="DK52" s="4">
        <f t="shared" si="54"/>
        <v>3352</v>
      </c>
      <c r="DL52" s="4">
        <f t="shared" si="54"/>
        <v>0</v>
      </c>
      <c r="DM52" s="4" t="e">
        <f>DZ52</f>
        <v>#REF!</v>
      </c>
      <c r="DN52" s="4">
        <f>EA52</f>
        <v>2.04542</v>
      </c>
      <c r="DO52" s="4">
        <f>ROUND(EB52,0)</f>
        <v>18</v>
      </c>
      <c r="DP52" s="4" t="e">
        <f>ROUND(EC52,0)</f>
        <v>#REF!</v>
      </c>
      <c r="DQ52" s="4" t="e">
        <f>ROUND(ED52,0)</f>
        <v>#REF!</v>
      </c>
      <c r="DR52" s="4"/>
      <c r="DS52" s="4"/>
      <c r="DT52" s="4">
        <f>ROUND(SUMIF(AA24:AA50,"=71570244",O24:O50),0)</f>
        <v>18998</v>
      </c>
      <c r="DU52" s="4">
        <f>ROUND(SUMIF(AA24:AA50,"=71570244",P24:P50),0)</f>
        <v>13801</v>
      </c>
      <c r="DV52" s="4">
        <f>ROUND(SUMIF(AA24:AA50,"=71570244",Q24:Q50),0)</f>
        <v>1845</v>
      </c>
      <c r="DW52" s="4">
        <f>ROUND(SUMIF(AA24:AA50,"=71570244",R24:R50),0)</f>
        <v>516</v>
      </c>
      <c r="DX52" s="4">
        <f>ROUND(SUMIF(AA24:AA50,"=71570244",S24:S50),0)</f>
        <v>3352</v>
      </c>
      <c r="DY52" s="4">
        <f>ROUND(SUMIF(AA24:AA50,"=71570244",T24:T50),0)</f>
        <v>0</v>
      </c>
      <c r="DZ52" s="4" t="e">
        <f>SUMIF(AA24:AA50,"=71570244",U24:U50)</f>
        <v>#REF!</v>
      </c>
      <c r="EA52" s="4">
        <f>SUMIF(AA24:AA50,"=71570244",V24:V50)</f>
        <v>2.04542</v>
      </c>
      <c r="EB52" s="4">
        <f>ROUND(SUMIF(AA24:AA50,"=71570244",W24:W50),0)</f>
        <v>18</v>
      </c>
      <c r="EC52" s="4" t="e">
        <f>ROUND(SUMIF(AA24:AA50,"=71570244",X24:X50),0)</f>
        <v>#REF!</v>
      </c>
      <c r="ED52" s="4" t="e">
        <f>ROUND(SUMIF(AA24:AA50,"=71570244",Y24:Y50),0)</f>
        <v>#REF!</v>
      </c>
      <c r="EE52" s="4"/>
      <c r="EF52" s="4"/>
      <c r="EG52" s="4">
        <f t="shared" ref="EG52:EV52" si="55">ROUND(FP52,0)</f>
        <v>0</v>
      </c>
      <c r="EH52" s="4">
        <f t="shared" si="55"/>
        <v>0</v>
      </c>
      <c r="EI52" s="4">
        <f t="shared" si="55"/>
        <v>0</v>
      </c>
      <c r="EJ52" s="4" t="e">
        <f t="shared" si="55"/>
        <v>#REF!</v>
      </c>
      <c r="EK52" s="4" t="e">
        <f t="shared" si="55"/>
        <v>#REF!</v>
      </c>
      <c r="EL52" s="4">
        <f t="shared" si="55"/>
        <v>0</v>
      </c>
      <c r="EM52" s="4">
        <f t="shared" si="55"/>
        <v>0</v>
      </c>
      <c r="EN52" s="4">
        <f t="shared" si="55"/>
        <v>13801</v>
      </c>
      <c r="EO52" s="4">
        <f t="shared" si="55"/>
        <v>13801</v>
      </c>
      <c r="EP52" s="4">
        <f t="shared" si="55"/>
        <v>0</v>
      </c>
      <c r="EQ52" s="4">
        <f t="shared" si="55"/>
        <v>13801</v>
      </c>
      <c r="ER52" s="4">
        <f t="shared" si="55"/>
        <v>0</v>
      </c>
      <c r="ES52" s="4">
        <f t="shared" si="55"/>
        <v>0</v>
      </c>
      <c r="ET52" s="4">
        <f t="shared" si="55"/>
        <v>0</v>
      </c>
      <c r="EU52" s="4">
        <f t="shared" si="55"/>
        <v>0</v>
      </c>
      <c r="EV52" s="4">
        <f t="shared" si="55"/>
        <v>0</v>
      </c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>
        <f>ROUND(SUMIF(AA24:AA50,"=71570244",FQ24:FQ50),0)</f>
        <v>0</v>
      </c>
      <c r="FQ52" s="4">
        <f>ROUND(SUMIF(AA24:AA50,"=71570244",FR24:FR50),0)</f>
        <v>0</v>
      </c>
      <c r="FR52" s="4">
        <f>ROUND(SUMIF(AA24:AA50,"=71570244",GL24:GL50),0)</f>
        <v>0</v>
      </c>
      <c r="FS52" s="4" t="e">
        <f>ROUND(SUMIF(AA24:AA50,"=71570244",GM24:GM50),0)</f>
        <v>#REF!</v>
      </c>
      <c r="FT52" s="4" t="e">
        <f>ROUND(SUMIF(AA24:AA50,"=71570244",GN24:GN50),0)</f>
        <v>#REF!</v>
      </c>
      <c r="FU52" s="4">
        <f>ROUND(SUMIF(AA24:AA50,"=71570244",GO24:GO50),0)</f>
        <v>0</v>
      </c>
      <c r="FV52" s="4">
        <f>ROUND(SUMIF(AA24:AA50,"=71570244",GP24:GP50),0)</f>
        <v>0</v>
      </c>
      <c r="FW52" s="4">
        <f>DU52-FP52</f>
        <v>13801</v>
      </c>
      <c r="FX52" s="4">
        <f>DU52-FQ52</f>
        <v>13801</v>
      </c>
      <c r="FY52" s="4">
        <f>FP52-FR52</f>
        <v>0</v>
      </c>
      <c r="FZ52" s="4">
        <f>DU52-FP52-FQ52+FR52</f>
        <v>13801</v>
      </c>
      <c r="GA52" s="4">
        <f>FQ52-FR52</f>
        <v>0</v>
      </c>
      <c r="GB52" s="4">
        <f>ROUND(SUMIF(AA24:AA50,"=71570244",GX24:GX50),0)</f>
        <v>0</v>
      </c>
      <c r="GC52" s="4">
        <f>ROUND(SUMIF(AA24:AA50,"=71570244",GY24:GY50),0)</f>
        <v>0</v>
      </c>
      <c r="GD52" s="4">
        <f>ROUND(SUMIF(AA24:AA50,"=71570244",GZ24:GZ50),0)</f>
        <v>0</v>
      </c>
      <c r="GE52" s="4">
        <f>ROUND(SUMIF(AA24:AA50,"=71570244",HD24:HD50),0)</f>
        <v>0</v>
      </c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>
        <v>0</v>
      </c>
      <c r="IF52">
        <v>-1</v>
      </c>
    </row>
    <row r="53" spans="1:255" x14ac:dyDescent="0.2">
      <c r="IF53">
        <v>-1</v>
      </c>
    </row>
    <row r="54" spans="1:255" x14ac:dyDescent="0.2">
      <c r="A54" s="5">
        <v>50</v>
      </c>
      <c r="B54" s="5">
        <v>0</v>
      </c>
      <c r="C54" s="5">
        <v>0</v>
      </c>
      <c r="D54" s="5">
        <v>1</v>
      </c>
      <c r="E54" s="5">
        <v>201</v>
      </c>
      <c r="F54" s="5">
        <f>ROUND(Source!O52,O54)</f>
        <v>3493</v>
      </c>
      <c r="G54" s="5" t="s">
        <v>96</v>
      </c>
      <c r="H54" s="5" t="s">
        <v>97</v>
      </c>
      <c r="I54" s="5"/>
      <c r="J54" s="5"/>
      <c r="K54" s="5">
        <v>201</v>
      </c>
      <c r="L54" s="5">
        <v>1</v>
      </c>
      <c r="M54" s="5">
        <v>3</v>
      </c>
      <c r="N54" s="5" t="s">
        <v>3</v>
      </c>
      <c r="O54" s="5">
        <v>0</v>
      </c>
      <c r="P54" s="5">
        <f>ROUND(Source!DG52,O54)</f>
        <v>18998</v>
      </c>
      <c r="Q54" s="5"/>
      <c r="R54" s="5"/>
      <c r="S54" s="5"/>
      <c r="T54" s="5"/>
      <c r="U54" s="5"/>
      <c r="V54" s="5"/>
      <c r="W54" s="5">
        <v>3493</v>
      </c>
      <c r="X54" s="5">
        <v>1</v>
      </c>
      <c r="Y54" s="5">
        <v>3493</v>
      </c>
      <c r="Z54" s="5">
        <v>18998</v>
      </c>
      <c r="AA54" s="5">
        <v>1</v>
      </c>
      <c r="AB54" s="5">
        <v>18998</v>
      </c>
      <c r="IF54">
        <v>-1</v>
      </c>
    </row>
    <row r="55" spans="1:255" x14ac:dyDescent="0.2">
      <c r="A55" s="5">
        <v>50</v>
      </c>
      <c r="B55" s="5">
        <v>0</v>
      </c>
      <c r="C55" s="5">
        <v>0</v>
      </c>
      <c r="D55" s="5">
        <v>1</v>
      </c>
      <c r="E55" s="5">
        <v>202</v>
      </c>
      <c r="F55" s="5">
        <f>ROUND(Source!P52,O55)</f>
        <v>3207</v>
      </c>
      <c r="G55" s="5" t="s">
        <v>98</v>
      </c>
      <c r="H55" s="5" t="s">
        <v>99</v>
      </c>
      <c r="I55" s="5"/>
      <c r="J55" s="5"/>
      <c r="K55" s="5">
        <v>202</v>
      </c>
      <c r="L55" s="5">
        <v>2</v>
      </c>
      <c r="M55" s="5">
        <v>3</v>
      </c>
      <c r="N55" s="5" t="s">
        <v>3</v>
      </c>
      <c r="O55" s="5">
        <v>0</v>
      </c>
      <c r="P55" s="5">
        <f>ROUND(Source!DH52,O55)</f>
        <v>13801</v>
      </c>
      <c r="Q55" s="5"/>
      <c r="R55" s="5"/>
      <c r="S55" s="5"/>
      <c r="T55" s="5"/>
      <c r="U55" s="5"/>
      <c r="V55" s="5"/>
      <c r="W55" s="5">
        <v>3207</v>
      </c>
      <c r="X55" s="5">
        <v>1</v>
      </c>
      <c r="Y55" s="5">
        <v>3207</v>
      </c>
      <c r="Z55" s="5">
        <v>13801</v>
      </c>
      <c r="AA55" s="5">
        <v>1</v>
      </c>
      <c r="AB55" s="5">
        <v>13801</v>
      </c>
      <c r="IF55">
        <v>-1</v>
      </c>
    </row>
    <row r="56" spans="1:255" x14ac:dyDescent="0.2">
      <c r="A56" s="5">
        <v>50</v>
      </c>
      <c r="B56" s="5">
        <v>0</v>
      </c>
      <c r="C56" s="5">
        <v>0</v>
      </c>
      <c r="D56" s="5">
        <v>1</v>
      </c>
      <c r="E56" s="5">
        <v>222</v>
      </c>
      <c r="F56" s="5">
        <f>ROUND(Source!AO52,O56)</f>
        <v>0</v>
      </c>
      <c r="G56" s="5" t="s">
        <v>100</v>
      </c>
      <c r="H56" s="5" t="s">
        <v>101</v>
      </c>
      <c r="I56" s="5"/>
      <c r="J56" s="5"/>
      <c r="K56" s="5">
        <v>222</v>
      </c>
      <c r="L56" s="5">
        <v>3</v>
      </c>
      <c r="M56" s="5">
        <v>3</v>
      </c>
      <c r="N56" s="5" t="s">
        <v>3</v>
      </c>
      <c r="O56" s="5">
        <v>0</v>
      </c>
      <c r="P56" s="5">
        <f>ROUND(Source!EG52,O56)</f>
        <v>0</v>
      </c>
      <c r="Q56" s="5"/>
      <c r="R56" s="5"/>
      <c r="S56" s="5"/>
      <c r="T56" s="5"/>
      <c r="U56" s="5"/>
      <c r="V56" s="5"/>
      <c r="W56" s="5">
        <v>0</v>
      </c>
      <c r="X56" s="5">
        <v>1</v>
      </c>
      <c r="Y56" s="5">
        <v>0</v>
      </c>
      <c r="Z56" s="5">
        <v>0</v>
      </c>
      <c r="AA56" s="5">
        <v>1</v>
      </c>
      <c r="AB56" s="5">
        <v>0</v>
      </c>
      <c r="IF56">
        <v>-1</v>
      </c>
    </row>
    <row r="57" spans="1:255" x14ac:dyDescent="0.2">
      <c r="A57" s="5">
        <v>50</v>
      </c>
      <c r="B57" s="5">
        <v>0</v>
      </c>
      <c r="C57" s="5">
        <v>0</v>
      </c>
      <c r="D57" s="5">
        <v>1</v>
      </c>
      <c r="E57" s="5">
        <v>225</v>
      </c>
      <c r="F57" s="5">
        <f>ROUND(Source!AV52,O57)</f>
        <v>3207</v>
      </c>
      <c r="G57" s="5" t="s">
        <v>102</v>
      </c>
      <c r="H57" s="5" t="s">
        <v>103</v>
      </c>
      <c r="I57" s="5"/>
      <c r="J57" s="5"/>
      <c r="K57" s="5">
        <v>225</v>
      </c>
      <c r="L57" s="5">
        <v>4</v>
      </c>
      <c r="M57" s="5">
        <v>3</v>
      </c>
      <c r="N57" s="5" t="s">
        <v>3</v>
      </c>
      <c r="O57" s="5">
        <v>0</v>
      </c>
      <c r="P57" s="5">
        <f>ROUND(Source!EN52,O57)</f>
        <v>13801</v>
      </c>
      <c r="Q57" s="5"/>
      <c r="R57" s="5"/>
      <c r="S57" s="5"/>
      <c r="T57" s="5"/>
      <c r="U57" s="5"/>
      <c r="V57" s="5"/>
      <c r="W57" s="5">
        <v>3207</v>
      </c>
      <c r="X57" s="5">
        <v>1</v>
      </c>
      <c r="Y57" s="5">
        <v>3207</v>
      </c>
      <c r="Z57" s="5">
        <v>13801</v>
      </c>
      <c r="AA57" s="5">
        <v>1</v>
      </c>
      <c r="AB57" s="5">
        <v>13801</v>
      </c>
      <c r="IF57">
        <v>-1</v>
      </c>
    </row>
    <row r="58" spans="1:255" x14ac:dyDescent="0.2">
      <c r="A58" s="5">
        <v>50</v>
      </c>
      <c r="B58" s="5">
        <v>0</v>
      </c>
      <c r="C58" s="5">
        <v>0</v>
      </c>
      <c r="D58" s="5">
        <v>1</v>
      </c>
      <c r="E58" s="5">
        <v>226</v>
      </c>
      <c r="F58" s="5">
        <f>ROUND(Source!AW52,O58)</f>
        <v>3207</v>
      </c>
      <c r="G58" s="5" t="s">
        <v>104</v>
      </c>
      <c r="H58" s="5" t="s">
        <v>105</v>
      </c>
      <c r="I58" s="5"/>
      <c r="J58" s="5"/>
      <c r="K58" s="5">
        <v>226</v>
      </c>
      <c r="L58" s="5">
        <v>5</v>
      </c>
      <c r="M58" s="5">
        <v>3</v>
      </c>
      <c r="N58" s="5" t="s">
        <v>3</v>
      </c>
      <c r="O58" s="5">
        <v>0</v>
      </c>
      <c r="P58" s="5">
        <f>ROUND(Source!EO52,O58)</f>
        <v>13801</v>
      </c>
      <c r="Q58" s="5"/>
      <c r="R58" s="5"/>
      <c r="S58" s="5"/>
      <c r="T58" s="5"/>
      <c r="U58" s="5"/>
      <c r="V58" s="5"/>
      <c r="W58" s="5">
        <v>3207</v>
      </c>
      <c r="X58" s="5">
        <v>1</v>
      </c>
      <c r="Y58" s="5">
        <v>3207</v>
      </c>
      <c r="Z58" s="5">
        <v>13801</v>
      </c>
      <c r="AA58" s="5">
        <v>1</v>
      </c>
      <c r="AB58" s="5">
        <v>13801</v>
      </c>
      <c r="IF58">
        <v>-1</v>
      </c>
    </row>
    <row r="59" spans="1:255" x14ac:dyDescent="0.2">
      <c r="A59" s="5">
        <v>50</v>
      </c>
      <c r="B59" s="5">
        <v>0</v>
      </c>
      <c r="C59" s="5">
        <v>0</v>
      </c>
      <c r="D59" s="5">
        <v>1</v>
      </c>
      <c r="E59" s="5">
        <v>227</v>
      </c>
      <c r="F59" s="5">
        <f>ROUND(Source!AX52,O59)</f>
        <v>0</v>
      </c>
      <c r="G59" s="5" t="s">
        <v>106</v>
      </c>
      <c r="H59" s="5" t="s">
        <v>107</v>
      </c>
      <c r="I59" s="5"/>
      <c r="J59" s="5"/>
      <c r="K59" s="5">
        <v>227</v>
      </c>
      <c r="L59" s="5">
        <v>6</v>
      </c>
      <c r="M59" s="5">
        <v>3</v>
      </c>
      <c r="N59" s="5" t="s">
        <v>3</v>
      </c>
      <c r="O59" s="5">
        <v>0</v>
      </c>
      <c r="P59" s="5">
        <f>ROUND(Source!EP52,O59)</f>
        <v>0</v>
      </c>
      <c r="Q59" s="5"/>
      <c r="R59" s="5"/>
      <c r="S59" s="5"/>
      <c r="T59" s="5"/>
      <c r="U59" s="5"/>
      <c r="V59" s="5"/>
      <c r="W59" s="5">
        <v>0</v>
      </c>
      <c r="X59" s="5">
        <v>1</v>
      </c>
      <c r="Y59" s="5">
        <v>0</v>
      </c>
      <c r="Z59" s="5">
        <v>0</v>
      </c>
      <c r="AA59" s="5">
        <v>1</v>
      </c>
      <c r="AB59" s="5">
        <v>0</v>
      </c>
      <c r="IF59">
        <v>-1</v>
      </c>
    </row>
    <row r="60" spans="1:255" x14ac:dyDescent="0.2">
      <c r="A60" s="5">
        <v>50</v>
      </c>
      <c r="B60" s="5">
        <v>0</v>
      </c>
      <c r="C60" s="5">
        <v>0</v>
      </c>
      <c r="D60" s="5">
        <v>1</v>
      </c>
      <c r="E60" s="5">
        <v>228</v>
      </c>
      <c r="F60" s="5">
        <f>ROUND(Source!AY52,O60)</f>
        <v>3207</v>
      </c>
      <c r="G60" s="5" t="s">
        <v>108</v>
      </c>
      <c r="H60" s="5" t="s">
        <v>109</v>
      </c>
      <c r="I60" s="5"/>
      <c r="J60" s="5"/>
      <c r="K60" s="5">
        <v>228</v>
      </c>
      <c r="L60" s="5">
        <v>7</v>
      </c>
      <c r="M60" s="5">
        <v>3</v>
      </c>
      <c r="N60" s="5" t="s">
        <v>3</v>
      </c>
      <c r="O60" s="5">
        <v>0</v>
      </c>
      <c r="P60" s="5">
        <f>ROUND(Source!EQ52,O60)</f>
        <v>13801</v>
      </c>
      <c r="Q60" s="5"/>
      <c r="R60" s="5"/>
      <c r="S60" s="5"/>
      <c r="T60" s="5"/>
      <c r="U60" s="5"/>
      <c r="V60" s="5"/>
      <c r="W60" s="5">
        <v>3207</v>
      </c>
      <c r="X60" s="5">
        <v>1</v>
      </c>
      <c r="Y60" s="5">
        <v>3207</v>
      </c>
      <c r="Z60" s="5">
        <v>13801</v>
      </c>
      <c r="AA60" s="5">
        <v>1</v>
      </c>
      <c r="AB60" s="5">
        <v>13801</v>
      </c>
      <c r="IF60">
        <v>-1</v>
      </c>
    </row>
    <row r="61" spans="1:255" x14ac:dyDescent="0.2">
      <c r="A61" s="5">
        <v>50</v>
      </c>
      <c r="B61" s="5">
        <v>0</v>
      </c>
      <c r="C61" s="5">
        <v>0</v>
      </c>
      <c r="D61" s="5">
        <v>1</v>
      </c>
      <c r="E61" s="5">
        <v>216</v>
      </c>
      <c r="F61" s="5">
        <f>ROUND(Source!AP52,O61)</f>
        <v>0</v>
      </c>
      <c r="G61" s="5" t="s">
        <v>110</v>
      </c>
      <c r="H61" s="5" t="s">
        <v>111</v>
      </c>
      <c r="I61" s="5"/>
      <c r="J61" s="5"/>
      <c r="K61" s="5">
        <v>216</v>
      </c>
      <c r="L61" s="5">
        <v>8</v>
      </c>
      <c r="M61" s="5">
        <v>3</v>
      </c>
      <c r="N61" s="5" t="s">
        <v>3</v>
      </c>
      <c r="O61" s="5">
        <v>0</v>
      </c>
      <c r="P61" s="5">
        <f>ROUND(Source!EH52,O61)</f>
        <v>0</v>
      </c>
      <c r="Q61" s="5"/>
      <c r="R61" s="5"/>
      <c r="S61" s="5"/>
      <c r="T61" s="5"/>
      <c r="U61" s="5"/>
      <c r="V61" s="5"/>
      <c r="W61" s="5">
        <v>0</v>
      </c>
      <c r="X61" s="5">
        <v>1</v>
      </c>
      <c r="Y61" s="5">
        <v>0</v>
      </c>
      <c r="Z61" s="5">
        <v>0</v>
      </c>
      <c r="AA61" s="5">
        <v>1</v>
      </c>
      <c r="AB61" s="5">
        <v>0</v>
      </c>
      <c r="IF61">
        <v>-1</v>
      </c>
    </row>
    <row r="62" spans="1:255" x14ac:dyDescent="0.2">
      <c r="A62" s="5">
        <v>50</v>
      </c>
      <c r="B62" s="5">
        <v>0</v>
      </c>
      <c r="C62" s="5">
        <v>0</v>
      </c>
      <c r="D62" s="5">
        <v>1</v>
      </c>
      <c r="E62" s="5">
        <v>223</v>
      </c>
      <c r="F62" s="5">
        <f>ROUND(Source!AQ52,O62)</f>
        <v>0</v>
      </c>
      <c r="G62" s="5" t="s">
        <v>112</v>
      </c>
      <c r="H62" s="5" t="s">
        <v>113</v>
      </c>
      <c r="I62" s="5"/>
      <c r="J62" s="5"/>
      <c r="K62" s="5">
        <v>223</v>
      </c>
      <c r="L62" s="5">
        <v>9</v>
      </c>
      <c r="M62" s="5">
        <v>3</v>
      </c>
      <c r="N62" s="5" t="s">
        <v>3</v>
      </c>
      <c r="O62" s="5">
        <v>0</v>
      </c>
      <c r="P62" s="5">
        <f>ROUND(Source!EI52,O62)</f>
        <v>0</v>
      </c>
      <c r="Q62" s="5"/>
      <c r="R62" s="5"/>
      <c r="S62" s="5"/>
      <c r="T62" s="5"/>
      <c r="U62" s="5"/>
      <c r="V62" s="5"/>
      <c r="W62" s="5">
        <v>0</v>
      </c>
      <c r="X62" s="5">
        <v>1</v>
      </c>
      <c r="Y62" s="5">
        <v>0</v>
      </c>
      <c r="Z62" s="5">
        <v>0</v>
      </c>
      <c r="AA62" s="5">
        <v>1</v>
      </c>
      <c r="AB62" s="5">
        <v>0</v>
      </c>
      <c r="IF62">
        <v>-1</v>
      </c>
    </row>
    <row r="63" spans="1:255" x14ac:dyDescent="0.2">
      <c r="A63" s="5">
        <v>50</v>
      </c>
      <c r="B63" s="5">
        <v>0</v>
      </c>
      <c r="C63" s="5">
        <v>0</v>
      </c>
      <c r="D63" s="5">
        <v>1</v>
      </c>
      <c r="E63" s="5">
        <v>229</v>
      </c>
      <c r="F63" s="5">
        <f>ROUND(Source!AZ52,O63)</f>
        <v>0</v>
      </c>
      <c r="G63" s="5" t="s">
        <v>114</v>
      </c>
      <c r="H63" s="5" t="s">
        <v>115</v>
      </c>
      <c r="I63" s="5"/>
      <c r="J63" s="5"/>
      <c r="K63" s="5">
        <v>229</v>
      </c>
      <c r="L63" s="5">
        <v>10</v>
      </c>
      <c r="M63" s="5">
        <v>3</v>
      </c>
      <c r="N63" s="5" t="s">
        <v>3</v>
      </c>
      <c r="O63" s="5">
        <v>0</v>
      </c>
      <c r="P63" s="5">
        <f>ROUND(Source!ER52,O63)</f>
        <v>0</v>
      </c>
      <c r="Q63" s="5"/>
      <c r="R63" s="5"/>
      <c r="S63" s="5"/>
      <c r="T63" s="5"/>
      <c r="U63" s="5"/>
      <c r="V63" s="5"/>
      <c r="W63" s="5">
        <v>0</v>
      </c>
      <c r="X63" s="5">
        <v>1</v>
      </c>
      <c r="Y63" s="5">
        <v>0</v>
      </c>
      <c r="Z63" s="5">
        <v>0</v>
      </c>
      <c r="AA63" s="5">
        <v>1</v>
      </c>
      <c r="AB63" s="5">
        <v>0</v>
      </c>
      <c r="IF63">
        <v>-1</v>
      </c>
    </row>
    <row r="64" spans="1:255" x14ac:dyDescent="0.2">
      <c r="A64" s="5">
        <v>50</v>
      </c>
      <c r="B64" s="5">
        <v>0</v>
      </c>
      <c r="C64" s="5">
        <v>0</v>
      </c>
      <c r="D64" s="5">
        <v>1</v>
      </c>
      <c r="E64" s="5">
        <v>203</v>
      </c>
      <c r="F64" s="5">
        <f>ROUND(Source!Q52,O64)</f>
        <v>198</v>
      </c>
      <c r="G64" s="5" t="s">
        <v>116</v>
      </c>
      <c r="H64" s="5" t="s">
        <v>117</v>
      </c>
      <c r="I64" s="5"/>
      <c r="J64" s="5"/>
      <c r="K64" s="5">
        <v>203</v>
      </c>
      <c r="L64" s="5">
        <v>11</v>
      </c>
      <c r="M64" s="5">
        <v>3</v>
      </c>
      <c r="N64" s="5" t="s">
        <v>3</v>
      </c>
      <c r="O64" s="5">
        <v>0</v>
      </c>
      <c r="P64" s="5">
        <f>ROUND(Source!DI52,O64)</f>
        <v>1845</v>
      </c>
      <c r="Q64" s="5"/>
      <c r="R64" s="5"/>
      <c r="S64" s="5"/>
      <c r="T64" s="5"/>
      <c r="U64" s="5"/>
      <c r="V64" s="5"/>
      <c r="W64" s="5">
        <v>198</v>
      </c>
      <c r="X64" s="5">
        <v>1</v>
      </c>
      <c r="Y64" s="5">
        <v>198</v>
      </c>
      <c r="Z64" s="5">
        <v>1845</v>
      </c>
      <c r="AA64" s="5">
        <v>1</v>
      </c>
      <c r="AB64" s="5">
        <v>1845</v>
      </c>
      <c r="IF64">
        <v>-1</v>
      </c>
    </row>
    <row r="65" spans="1:240" x14ac:dyDescent="0.2">
      <c r="A65" s="5">
        <v>50</v>
      </c>
      <c r="B65" s="5">
        <v>0</v>
      </c>
      <c r="C65" s="5">
        <v>0</v>
      </c>
      <c r="D65" s="5">
        <v>1</v>
      </c>
      <c r="E65" s="5">
        <v>231</v>
      </c>
      <c r="F65" s="5">
        <f>ROUND(Source!BB52,O65)</f>
        <v>0</v>
      </c>
      <c r="G65" s="5" t="s">
        <v>118</v>
      </c>
      <c r="H65" s="5" t="s">
        <v>119</v>
      </c>
      <c r="I65" s="5"/>
      <c r="J65" s="5"/>
      <c r="K65" s="5">
        <v>231</v>
      </c>
      <c r="L65" s="5">
        <v>12</v>
      </c>
      <c r="M65" s="5">
        <v>3</v>
      </c>
      <c r="N65" s="5" t="s">
        <v>3</v>
      </c>
      <c r="O65" s="5">
        <v>0</v>
      </c>
      <c r="P65" s="5">
        <f>ROUND(Source!ET52,O65)</f>
        <v>0</v>
      </c>
      <c r="Q65" s="5"/>
      <c r="R65" s="5"/>
      <c r="S65" s="5"/>
      <c r="T65" s="5"/>
      <c r="U65" s="5"/>
      <c r="V65" s="5"/>
      <c r="W65" s="5">
        <v>0</v>
      </c>
      <c r="X65" s="5">
        <v>1</v>
      </c>
      <c r="Y65" s="5">
        <v>0</v>
      </c>
      <c r="Z65" s="5">
        <v>0</v>
      </c>
      <c r="AA65" s="5">
        <v>1</v>
      </c>
      <c r="AB65" s="5">
        <v>0</v>
      </c>
      <c r="IF65">
        <v>-1</v>
      </c>
    </row>
    <row r="66" spans="1:240" x14ac:dyDescent="0.2">
      <c r="A66" s="5">
        <v>50</v>
      </c>
      <c r="B66" s="5">
        <v>0</v>
      </c>
      <c r="C66" s="5">
        <v>0</v>
      </c>
      <c r="D66" s="5">
        <v>1</v>
      </c>
      <c r="E66" s="5">
        <v>204</v>
      </c>
      <c r="F66" s="5">
        <f>ROUND(Source!R52,O66)</f>
        <v>26</v>
      </c>
      <c r="G66" s="5" t="s">
        <v>120</v>
      </c>
      <c r="H66" s="5" t="s">
        <v>121</v>
      </c>
      <c r="I66" s="5"/>
      <c r="J66" s="5"/>
      <c r="K66" s="5">
        <v>204</v>
      </c>
      <c r="L66" s="5">
        <v>13</v>
      </c>
      <c r="M66" s="5">
        <v>3</v>
      </c>
      <c r="N66" s="5" t="s">
        <v>3</v>
      </c>
      <c r="O66" s="5">
        <v>0</v>
      </c>
      <c r="P66" s="5">
        <f>ROUND(Source!DJ52,O66)</f>
        <v>516</v>
      </c>
      <c r="Q66" s="5"/>
      <c r="R66" s="5"/>
      <c r="S66" s="5"/>
      <c r="T66" s="5"/>
      <c r="U66" s="5"/>
      <c r="V66" s="5"/>
      <c r="W66" s="5">
        <v>26</v>
      </c>
      <c r="X66" s="5">
        <v>1</v>
      </c>
      <c r="Y66" s="5">
        <v>26</v>
      </c>
      <c r="Z66" s="5">
        <v>516</v>
      </c>
      <c r="AA66" s="5">
        <v>1</v>
      </c>
      <c r="AB66" s="5">
        <v>516</v>
      </c>
      <c r="IF66">
        <v>-1</v>
      </c>
    </row>
    <row r="67" spans="1:240" x14ac:dyDescent="0.2">
      <c r="A67" s="5">
        <v>50</v>
      </c>
      <c r="B67" s="5">
        <v>0</v>
      </c>
      <c r="C67" s="5">
        <v>0</v>
      </c>
      <c r="D67" s="5">
        <v>1</v>
      </c>
      <c r="E67" s="5">
        <v>205</v>
      </c>
      <c r="F67" s="5">
        <f>ROUND(Source!S52,O67)</f>
        <v>88</v>
      </c>
      <c r="G67" s="5" t="s">
        <v>122</v>
      </c>
      <c r="H67" s="5" t="s">
        <v>123</v>
      </c>
      <c r="I67" s="5"/>
      <c r="J67" s="5"/>
      <c r="K67" s="5">
        <v>205</v>
      </c>
      <c r="L67" s="5">
        <v>14</v>
      </c>
      <c r="M67" s="5">
        <v>3</v>
      </c>
      <c r="N67" s="5" t="s">
        <v>3</v>
      </c>
      <c r="O67" s="5">
        <v>0</v>
      </c>
      <c r="P67" s="5">
        <f>ROUND(Source!DK52,O67)</f>
        <v>3352</v>
      </c>
      <c r="Q67" s="5"/>
      <c r="R67" s="5"/>
      <c r="S67" s="5"/>
      <c r="T67" s="5"/>
      <c r="U67" s="5"/>
      <c r="V67" s="5"/>
      <c r="W67" s="5">
        <v>88</v>
      </c>
      <c r="X67" s="5">
        <v>1</v>
      </c>
      <c r="Y67" s="5">
        <v>88</v>
      </c>
      <c r="Z67" s="5">
        <v>3352</v>
      </c>
      <c r="AA67" s="5">
        <v>1</v>
      </c>
      <c r="AB67" s="5">
        <v>3352</v>
      </c>
      <c r="IF67">
        <v>-1</v>
      </c>
    </row>
    <row r="68" spans="1:240" x14ac:dyDescent="0.2">
      <c r="A68" s="5">
        <v>50</v>
      </c>
      <c r="B68" s="5">
        <v>0</v>
      </c>
      <c r="C68" s="5">
        <v>0</v>
      </c>
      <c r="D68" s="5">
        <v>1</v>
      </c>
      <c r="E68" s="5">
        <v>232</v>
      </c>
      <c r="F68" s="5">
        <f>ROUND(Source!BC52,O68)</f>
        <v>0</v>
      </c>
      <c r="G68" s="5" t="s">
        <v>124</v>
      </c>
      <c r="H68" s="5" t="s">
        <v>125</v>
      </c>
      <c r="I68" s="5"/>
      <c r="J68" s="5"/>
      <c r="K68" s="5">
        <v>232</v>
      </c>
      <c r="L68" s="5">
        <v>15</v>
      </c>
      <c r="M68" s="5">
        <v>3</v>
      </c>
      <c r="N68" s="5" t="s">
        <v>3</v>
      </c>
      <c r="O68" s="5">
        <v>0</v>
      </c>
      <c r="P68" s="5">
        <f>ROUND(Source!EU52,O68)</f>
        <v>0</v>
      </c>
      <c r="Q68" s="5"/>
      <c r="R68" s="5"/>
      <c r="S68" s="5"/>
      <c r="T68" s="5"/>
      <c r="U68" s="5"/>
      <c r="V68" s="5"/>
      <c r="W68" s="5">
        <v>0</v>
      </c>
      <c r="X68" s="5">
        <v>1</v>
      </c>
      <c r="Y68" s="5">
        <v>0</v>
      </c>
      <c r="Z68" s="5">
        <v>0</v>
      </c>
      <c r="AA68" s="5">
        <v>1</v>
      </c>
      <c r="AB68" s="5">
        <v>0</v>
      </c>
      <c r="IF68">
        <v>-1</v>
      </c>
    </row>
    <row r="69" spans="1:240" x14ac:dyDescent="0.2">
      <c r="A69" s="5">
        <v>50</v>
      </c>
      <c r="B69" s="5">
        <v>0</v>
      </c>
      <c r="C69" s="5">
        <v>0</v>
      </c>
      <c r="D69" s="5">
        <v>1</v>
      </c>
      <c r="E69" s="5">
        <v>214</v>
      </c>
      <c r="F69" s="5">
        <f>ROUND(Source!AS52,O69)</f>
        <v>3763</v>
      </c>
      <c r="G69" s="5" t="s">
        <v>126</v>
      </c>
      <c r="H69" s="5" t="s">
        <v>127</v>
      </c>
      <c r="I69" s="5"/>
      <c r="J69" s="5"/>
      <c r="K69" s="5">
        <v>214</v>
      </c>
      <c r="L69" s="5">
        <v>16</v>
      </c>
      <c r="M69" s="5">
        <v>3</v>
      </c>
      <c r="N69" s="5" t="s">
        <v>3</v>
      </c>
      <c r="O69" s="5">
        <v>0</v>
      </c>
      <c r="P69" s="5" t="e">
        <f>ROUND(Source!EK52,O69)</f>
        <v>#REF!</v>
      </c>
      <c r="Q69" s="5"/>
      <c r="R69" s="5"/>
      <c r="S69" s="5"/>
      <c r="T69" s="5"/>
      <c r="U69" s="5"/>
      <c r="V69" s="5"/>
      <c r="W69" s="5">
        <v>3763</v>
      </c>
      <c r="X69" s="5">
        <v>1</v>
      </c>
      <c r="Y69" s="5">
        <v>3763</v>
      </c>
      <c r="Z69" s="5">
        <v>27354</v>
      </c>
      <c r="AA69" s="5">
        <v>1</v>
      </c>
      <c r="AB69" s="5">
        <v>27354</v>
      </c>
      <c r="IF69">
        <v>-1</v>
      </c>
    </row>
    <row r="70" spans="1:240" x14ac:dyDescent="0.2">
      <c r="A70" s="5">
        <v>50</v>
      </c>
      <c r="B70" s="5">
        <v>0</v>
      </c>
      <c r="C70" s="5">
        <v>0</v>
      </c>
      <c r="D70" s="5">
        <v>1</v>
      </c>
      <c r="E70" s="5">
        <v>215</v>
      </c>
      <c r="F70" s="5">
        <f>ROUND(Source!AT52,O70)</f>
        <v>0</v>
      </c>
      <c r="G70" s="5" t="s">
        <v>128</v>
      </c>
      <c r="H70" s="5" t="s">
        <v>129</v>
      </c>
      <c r="I70" s="5"/>
      <c r="J70" s="5"/>
      <c r="K70" s="5">
        <v>215</v>
      </c>
      <c r="L70" s="5">
        <v>17</v>
      </c>
      <c r="M70" s="5">
        <v>3</v>
      </c>
      <c r="N70" s="5" t="s">
        <v>3</v>
      </c>
      <c r="O70" s="5">
        <v>0</v>
      </c>
      <c r="P70" s="5">
        <f>ROUND(Source!EL52,O70)</f>
        <v>0</v>
      </c>
      <c r="Q70" s="5"/>
      <c r="R70" s="5"/>
      <c r="S70" s="5"/>
      <c r="T70" s="5"/>
      <c r="U70" s="5"/>
      <c r="V70" s="5"/>
      <c r="W70" s="5">
        <v>0</v>
      </c>
      <c r="X70" s="5">
        <v>1</v>
      </c>
      <c r="Y70" s="5">
        <v>0</v>
      </c>
      <c r="Z70" s="5">
        <v>0</v>
      </c>
      <c r="AA70" s="5">
        <v>1</v>
      </c>
      <c r="AB70" s="5">
        <v>0</v>
      </c>
      <c r="IF70">
        <v>-1</v>
      </c>
    </row>
    <row r="71" spans="1:240" x14ac:dyDescent="0.2">
      <c r="A71" s="5">
        <v>50</v>
      </c>
      <c r="B71" s="5">
        <v>0</v>
      </c>
      <c r="C71" s="5">
        <v>0</v>
      </c>
      <c r="D71" s="5">
        <v>1</v>
      </c>
      <c r="E71" s="5">
        <v>217</v>
      </c>
      <c r="F71" s="5">
        <f>ROUND(Source!AU52,O71)</f>
        <v>0</v>
      </c>
      <c r="G71" s="5" t="s">
        <v>130</v>
      </c>
      <c r="H71" s="5" t="s">
        <v>131</v>
      </c>
      <c r="I71" s="5"/>
      <c r="J71" s="5"/>
      <c r="K71" s="5">
        <v>217</v>
      </c>
      <c r="L71" s="5">
        <v>18</v>
      </c>
      <c r="M71" s="5">
        <v>3</v>
      </c>
      <c r="N71" s="5" t="s">
        <v>3</v>
      </c>
      <c r="O71" s="5">
        <v>0</v>
      </c>
      <c r="P71" s="5">
        <f>ROUND(Source!EM52,O71)</f>
        <v>0</v>
      </c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>
        <v>0</v>
      </c>
      <c r="AA71" s="5">
        <v>1</v>
      </c>
      <c r="AB71" s="5">
        <v>0</v>
      </c>
      <c r="IF71">
        <v>-1</v>
      </c>
    </row>
    <row r="72" spans="1:240" x14ac:dyDescent="0.2">
      <c r="A72" s="5">
        <v>50</v>
      </c>
      <c r="B72" s="5">
        <v>0</v>
      </c>
      <c r="C72" s="5">
        <v>0</v>
      </c>
      <c r="D72" s="5">
        <v>1</v>
      </c>
      <c r="E72" s="5">
        <v>230</v>
      </c>
      <c r="F72" s="5">
        <f>ROUND(Source!BA52,O72)</f>
        <v>0</v>
      </c>
      <c r="G72" s="5" t="s">
        <v>132</v>
      </c>
      <c r="H72" s="5" t="s">
        <v>133</v>
      </c>
      <c r="I72" s="5"/>
      <c r="J72" s="5"/>
      <c r="K72" s="5">
        <v>230</v>
      </c>
      <c r="L72" s="5">
        <v>19</v>
      </c>
      <c r="M72" s="5">
        <v>3</v>
      </c>
      <c r="N72" s="5" t="s">
        <v>3</v>
      </c>
      <c r="O72" s="5">
        <v>0</v>
      </c>
      <c r="P72" s="5">
        <f>ROUND(Source!ES52,O72)</f>
        <v>0</v>
      </c>
      <c r="Q72" s="5"/>
      <c r="R72" s="5"/>
      <c r="S72" s="5"/>
      <c r="T72" s="5"/>
      <c r="U72" s="5"/>
      <c r="V72" s="5"/>
      <c r="W72" s="5">
        <v>0</v>
      </c>
      <c r="X72" s="5">
        <v>1</v>
      </c>
      <c r="Y72" s="5">
        <v>0</v>
      </c>
      <c r="Z72" s="5">
        <v>0</v>
      </c>
      <c r="AA72" s="5">
        <v>1</v>
      </c>
      <c r="AB72" s="5">
        <v>0</v>
      </c>
      <c r="IF72">
        <v>-1</v>
      </c>
    </row>
    <row r="73" spans="1:240" x14ac:dyDescent="0.2">
      <c r="A73" s="5">
        <v>50</v>
      </c>
      <c r="B73" s="5">
        <v>0</v>
      </c>
      <c r="C73" s="5">
        <v>0</v>
      </c>
      <c r="D73" s="5">
        <v>1</v>
      </c>
      <c r="E73" s="5">
        <v>206</v>
      </c>
      <c r="F73" s="5">
        <f>ROUND(Source!T52,O73)</f>
        <v>0</v>
      </c>
      <c r="G73" s="5" t="s">
        <v>134</v>
      </c>
      <c r="H73" s="5" t="s">
        <v>135</v>
      </c>
      <c r="I73" s="5"/>
      <c r="J73" s="5"/>
      <c r="K73" s="5">
        <v>206</v>
      </c>
      <c r="L73" s="5">
        <v>20</v>
      </c>
      <c r="M73" s="5">
        <v>3</v>
      </c>
      <c r="N73" s="5" t="s">
        <v>3</v>
      </c>
      <c r="O73" s="5">
        <v>0</v>
      </c>
      <c r="P73" s="5">
        <f>ROUND(Source!DL52,O73)</f>
        <v>0</v>
      </c>
      <c r="Q73" s="5"/>
      <c r="R73" s="5"/>
      <c r="S73" s="5"/>
      <c r="T73" s="5"/>
      <c r="U73" s="5"/>
      <c r="V73" s="5"/>
      <c r="W73" s="5">
        <v>0</v>
      </c>
      <c r="X73" s="5">
        <v>1</v>
      </c>
      <c r="Y73" s="5">
        <v>0</v>
      </c>
      <c r="Z73" s="5">
        <v>0</v>
      </c>
      <c r="AA73" s="5">
        <v>1</v>
      </c>
      <c r="AB73" s="5">
        <v>0</v>
      </c>
      <c r="IF73">
        <v>-1</v>
      </c>
    </row>
    <row r="74" spans="1:240" x14ac:dyDescent="0.2">
      <c r="A74" s="5">
        <v>50</v>
      </c>
      <c r="B74" s="5">
        <v>0</v>
      </c>
      <c r="C74" s="5">
        <v>0</v>
      </c>
      <c r="D74" s="5">
        <v>1</v>
      </c>
      <c r="E74" s="5">
        <v>207</v>
      </c>
      <c r="F74" s="5">
        <f>Source!U52</f>
        <v>10.562478</v>
      </c>
      <c r="G74" s="5" t="s">
        <v>136</v>
      </c>
      <c r="H74" s="5" t="s">
        <v>137</v>
      </c>
      <c r="I74" s="5"/>
      <c r="J74" s="5"/>
      <c r="K74" s="5">
        <v>207</v>
      </c>
      <c r="L74" s="5">
        <v>21</v>
      </c>
      <c r="M74" s="5">
        <v>3</v>
      </c>
      <c r="N74" s="5" t="s">
        <v>3</v>
      </c>
      <c r="O74" s="5">
        <v>-1</v>
      </c>
      <c r="P74" s="5" t="e">
        <f>Source!DM52</f>
        <v>#REF!</v>
      </c>
      <c r="Q74" s="5"/>
      <c r="R74" s="5"/>
      <c r="S74" s="5"/>
      <c r="T74" s="5"/>
      <c r="U74" s="5"/>
      <c r="V74" s="5"/>
      <c r="W74" s="5">
        <v>10.562477999999999</v>
      </c>
      <c r="X74" s="5">
        <v>1</v>
      </c>
      <c r="Y74" s="5">
        <v>10.562477999999999</v>
      </c>
      <c r="Z74" s="5">
        <v>10.562477999999999</v>
      </c>
      <c r="AA74" s="5">
        <v>1</v>
      </c>
      <c r="AB74" s="5">
        <v>10.562477999999999</v>
      </c>
      <c r="IF74">
        <v>-1</v>
      </c>
    </row>
    <row r="75" spans="1:240" x14ac:dyDescent="0.2">
      <c r="A75" s="5">
        <v>50</v>
      </c>
      <c r="B75" s="5">
        <v>0</v>
      </c>
      <c r="C75" s="5">
        <v>0</v>
      </c>
      <c r="D75" s="5">
        <v>1</v>
      </c>
      <c r="E75" s="5">
        <v>208</v>
      </c>
      <c r="F75" s="5">
        <f>Source!V52</f>
        <v>2.04542</v>
      </c>
      <c r="G75" s="5" t="s">
        <v>138</v>
      </c>
      <c r="H75" s="5" t="s">
        <v>139</v>
      </c>
      <c r="I75" s="5"/>
      <c r="J75" s="5"/>
      <c r="K75" s="5">
        <v>208</v>
      </c>
      <c r="L75" s="5">
        <v>22</v>
      </c>
      <c r="M75" s="5">
        <v>3</v>
      </c>
      <c r="N75" s="5" t="s">
        <v>3</v>
      </c>
      <c r="O75" s="5">
        <v>-1</v>
      </c>
      <c r="P75" s="5">
        <f>Source!DN52</f>
        <v>2.04542</v>
      </c>
      <c r="Q75" s="5"/>
      <c r="R75" s="5"/>
      <c r="S75" s="5"/>
      <c r="T75" s="5"/>
      <c r="U75" s="5"/>
      <c r="V75" s="5"/>
      <c r="W75" s="5">
        <v>2.04542</v>
      </c>
      <c r="X75" s="5">
        <v>1</v>
      </c>
      <c r="Y75" s="5">
        <v>2.04542</v>
      </c>
      <c r="Z75" s="5">
        <v>2.04542</v>
      </c>
      <c r="AA75" s="5">
        <v>1</v>
      </c>
      <c r="AB75" s="5">
        <v>2.04542</v>
      </c>
      <c r="IF75">
        <v>-1</v>
      </c>
    </row>
    <row r="76" spans="1:240" x14ac:dyDescent="0.2">
      <c r="A76" s="5">
        <v>50</v>
      </c>
      <c r="B76" s="5">
        <v>0</v>
      </c>
      <c r="C76" s="5">
        <v>0</v>
      </c>
      <c r="D76" s="5">
        <v>1</v>
      </c>
      <c r="E76" s="5">
        <v>209</v>
      </c>
      <c r="F76" s="5">
        <f>ROUND(Source!W52,O76)</f>
        <v>18</v>
      </c>
      <c r="G76" s="5" t="s">
        <v>140</v>
      </c>
      <c r="H76" s="5" t="s">
        <v>141</v>
      </c>
      <c r="I76" s="5"/>
      <c r="J76" s="5"/>
      <c r="K76" s="5">
        <v>209</v>
      </c>
      <c r="L76" s="5">
        <v>23</v>
      </c>
      <c r="M76" s="5">
        <v>3</v>
      </c>
      <c r="N76" s="5" t="s">
        <v>3</v>
      </c>
      <c r="O76" s="5">
        <v>0</v>
      </c>
      <c r="P76" s="5">
        <f>ROUND(Source!DO52,O76)</f>
        <v>18</v>
      </c>
      <c r="Q76" s="5"/>
      <c r="R76" s="5"/>
      <c r="S76" s="5"/>
      <c r="T76" s="5"/>
      <c r="U76" s="5"/>
      <c r="V76" s="5"/>
      <c r="W76" s="5">
        <v>18</v>
      </c>
      <c r="X76" s="5">
        <v>1</v>
      </c>
      <c r="Y76" s="5">
        <v>18</v>
      </c>
      <c r="Z76" s="5">
        <v>18</v>
      </c>
      <c r="AA76" s="5">
        <v>1</v>
      </c>
      <c r="AB76" s="5">
        <v>18</v>
      </c>
      <c r="IF76">
        <v>-1</v>
      </c>
    </row>
    <row r="77" spans="1:240" x14ac:dyDescent="0.2">
      <c r="A77" s="5">
        <v>50</v>
      </c>
      <c r="B77" s="5">
        <v>0</v>
      </c>
      <c r="C77" s="5">
        <v>0</v>
      </c>
      <c r="D77" s="5">
        <v>1</v>
      </c>
      <c r="E77" s="5">
        <v>233</v>
      </c>
      <c r="F77" s="5">
        <f>ROUND(Source!BD52,O77)</f>
        <v>0</v>
      </c>
      <c r="G77" s="5" t="s">
        <v>142</v>
      </c>
      <c r="H77" s="5" t="s">
        <v>143</v>
      </c>
      <c r="I77" s="5"/>
      <c r="J77" s="5"/>
      <c r="K77" s="5">
        <v>233</v>
      </c>
      <c r="L77" s="5">
        <v>24</v>
      </c>
      <c r="M77" s="5">
        <v>3</v>
      </c>
      <c r="N77" s="5" t="s">
        <v>3</v>
      </c>
      <c r="O77" s="5">
        <v>0</v>
      </c>
      <c r="P77" s="5">
        <f>ROUND(Source!EV52,O77)</f>
        <v>0</v>
      </c>
      <c r="Q77" s="5"/>
      <c r="R77" s="5"/>
      <c r="S77" s="5"/>
      <c r="T77" s="5"/>
      <c r="U77" s="5"/>
      <c r="V77" s="5"/>
      <c r="W77" s="5">
        <v>0</v>
      </c>
      <c r="X77" s="5">
        <v>1</v>
      </c>
      <c r="Y77" s="5">
        <v>0</v>
      </c>
      <c r="Z77" s="5">
        <v>0</v>
      </c>
      <c r="AA77" s="5">
        <v>1</v>
      </c>
      <c r="AB77" s="5">
        <v>0</v>
      </c>
      <c r="IF77">
        <v>-1</v>
      </c>
    </row>
    <row r="78" spans="1:240" x14ac:dyDescent="0.2">
      <c r="A78" s="5">
        <v>50</v>
      </c>
      <c r="B78" s="5">
        <v>0</v>
      </c>
      <c r="C78" s="5">
        <v>0</v>
      </c>
      <c r="D78" s="5">
        <v>1</v>
      </c>
      <c r="E78" s="5">
        <v>210</v>
      </c>
      <c r="F78" s="5">
        <f>ROUND(Source!X52,O78)</f>
        <v>162</v>
      </c>
      <c r="G78" s="5" t="s">
        <v>144</v>
      </c>
      <c r="H78" s="5" t="s">
        <v>145</v>
      </c>
      <c r="I78" s="5"/>
      <c r="J78" s="5"/>
      <c r="K78" s="5">
        <v>210</v>
      </c>
      <c r="L78" s="5">
        <v>25</v>
      </c>
      <c r="M78" s="5">
        <v>3</v>
      </c>
      <c r="N78" s="5" t="s">
        <v>3</v>
      </c>
      <c r="O78" s="5">
        <v>0</v>
      </c>
      <c r="P78" s="5" t="e">
        <f>ROUND(Source!DP52,O78)</f>
        <v>#REF!</v>
      </c>
      <c r="Q78" s="5"/>
      <c r="R78" s="5"/>
      <c r="S78" s="5"/>
      <c r="T78" s="5"/>
      <c r="U78" s="5"/>
      <c r="V78" s="5"/>
      <c r="W78" s="5">
        <v>162</v>
      </c>
      <c r="X78" s="5">
        <v>1</v>
      </c>
      <c r="Y78" s="5">
        <v>162</v>
      </c>
      <c r="Z78" s="5">
        <v>5223</v>
      </c>
      <c r="AA78" s="5">
        <v>1</v>
      </c>
      <c r="AB78" s="5">
        <v>5223</v>
      </c>
      <c r="IF78">
        <v>-1</v>
      </c>
    </row>
    <row r="79" spans="1:240" x14ac:dyDescent="0.2">
      <c r="A79" s="5">
        <v>50</v>
      </c>
      <c r="B79" s="5">
        <v>0</v>
      </c>
      <c r="C79" s="5">
        <v>0</v>
      </c>
      <c r="D79" s="5">
        <v>1</v>
      </c>
      <c r="E79" s="5">
        <v>211</v>
      </c>
      <c r="F79" s="5">
        <f>ROUND(Source!Y52,O79)</f>
        <v>108</v>
      </c>
      <c r="G79" s="5" t="s">
        <v>146</v>
      </c>
      <c r="H79" s="5" t="s">
        <v>147</v>
      </c>
      <c r="I79" s="5"/>
      <c r="J79" s="5"/>
      <c r="K79" s="5">
        <v>211</v>
      </c>
      <c r="L79" s="5">
        <v>26</v>
      </c>
      <c r="M79" s="5">
        <v>3</v>
      </c>
      <c r="N79" s="5" t="s">
        <v>3</v>
      </c>
      <c r="O79" s="5">
        <v>0</v>
      </c>
      <c r="P79" s="5" t="e">
        <f>ROUND(Source!DQ52,O79)</f>
        <v>#REF!</v>
      </c>
      <c r="Q79" s="5"/>
      <c r="R79" s="5"/>
      <c r="S79" s="5"/>
      <c r="T79" s="5"/>
      <c r="U79" s="5"/>
      <c r="V79" s="5"/>
      <c r="W79" s="5">
        <v>108</v>
      </c>
      <c r="X79" s="5">
        <v>1</v>
      </c>
      <c r="Y79" s="5">
        <v>108</v>
      </c>
      <c r="Z79" s="5">
        <v>3133</v>
      </c>
      <c r="AA79" s="5">
        <v>1</v>
      </c>
      <c r="AB79" s="5">
        <v>3133</v>
      </c>
      <c r="IF79">
        <v>-1</v>
      </c>
    </row>
    <row r="80" spans="1:240" x14ac:dyDescent="0.2">
      <c r="A80" s="5">
        <v>50</v>
      </c>
      <c r="B80" s="5">
        <v>0</v>
      </c>
      <c r="C80" s="5">
        <v>0</v>
      </c>
      <c r="D80" s="5">
        <v>1</v>
      </c>
      <c r="E80" s="5">
        <v>224</v>
      </c>
      <c r="F80" s="5">
        <f>ROUND(Source!AR52,O80)</f>
        <v>3763</v>
      </c>
      <c r="G80" s="5" t="s">
        <v>148</v>
      </c>
      <c r="H80" s="5" t="s">
        <v>149</v>
      </c>
      <c r="I80" s="5"/>
      <c r="J80" s="5"/>
      <c r="K80" s="5">
        <v>224</v>
      </c>
      <c r="L80" s="5">
        <v>27</v>
      </c>
      <c r="M80" s="5">
        <v>3</v>
      </c>
      <c r="N80" s="5" t="s">
        <v>3</v>
      </c>
      <c r="O80" s="5">
        <v>0</v>
      </c>
      <c r="P80" s="5" t="e">
        <f>ROUND(Source!EJ52,O80)</f>
        <v>#REF!</v>
      </c>
      <c r="Q80" s="5"/>
      <c r="R80" s="5"/>
      <c r="S80" s="5"/>
      <c r="T80" s="5"/>
      <c r="U80" s="5"/>
      <c r="V80" s="5"/>
      <c r="W80" s="5">
        <v>3763</v>
      </c>
      <c r="X80" s="5">
        <v>1</v>
      </c>
      <c r="Y80" s="5">
        <v>3763</v>
      </c>
      <c r="Z80" s="5">
        <v>27354</v>
      </c>
      <c r="AA80" s="5">
        <v>1</v>
      </c>
      <c r="AB80" s="5">
        <v>27354</v>
      </c>
      <c r="IF80">
        <v>-1</v>
      </c>
    </row>
    <row r="81" spans="1:240" x14ac:dyDescent="0.2">
      <c r="IF81">
        <v>-1</v>
      </c>
    </row>
    <row r="82" spans="1:240" x14ac:dyDescent="0.2">
      <c r="A82" s="3">
        <v>51</v>
      </c>
      <c r="B82" s="3">
        <f>B12</f>
        <v>146</v>
      </c>
      <c r="C82" s="3">
        <f>A12</f>
        <v>1</v>
      </c>
      <c r="D82" s="3">
        <f>ROW(A12)</f>
        <v>12</v>
      </c>
      <c r="E82" s="3"/>
      <c r="F82" s="3" t="str">
        <f>IF(F12&lt;&gt;"",F12,"")</f>
        <v>6.2.1.2.3 Разметка стоянок и  монтаж дорожных знаков, поз.1</v>
      </c>
      <c r="G82" s="3" t="str">
        <f>IF(G12&lt;&gt;"",G12,"")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H82" s="3">
        <v>0</v>
      </c>
      <c r="I82" s="3"/>
      <c r="J82" s="3"/>
      <c r="K82" s="3"/>
      <c r="L82" s="3"/>
      <c r="M82" s="3"/>
      <c r="N82" s="3"/>
      <c r="O82" s="3">
        <f t="shared" ref="O82:T82" si="56">ROUND(O52,0)</f>
        <v>3493</v>
      </c>
      <c r="P82" s="3">
        <f t="shared" si="56"/>
        <v>3207</v>
      </c>
      <c r="Q82" s="3">
        <f t="shared" si="56"/>
        <v>198</v>
      </c>
      <c r="R82" s="3">
        <f t="shared" si="56"/>
        <v>26</v>
      </c>
      <c r="S82" s="3">
        <f t="shared" si="56"/>
        <v>88</v>
      </c>
      <c r="T82" s="3">
        <f t="shared" si="56"/>
        <v>0</v>
      </c>
      <c r="U82" s="3">
        <f>U52</f>
        <v>10.562478</v>
      </c>
      <c r="V82" s="3">
        <f>V52</f>
        <v>2.04542</v>
      </c>
      <c r="W82" s="3">
        <f>ROUND(W52,0)</f>
        <v>18</v>
      </c>
      <c r="X82" s="3">
        <f>ROUND(X52,0)</f>
        <v>162</v>
      </c>
      <c r="Y82" s="3">
        <f>ROUND(Y52,0)</f>
        <v>108</v>
      </c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>
        <f t="shared" ref="AO82:BD82" si="57">ROUND(AO52,0)</f>
        <v>0</v>
      </c>
      <c r="AP82" s="3">
        <f t="shared" si="57"/>
        <v>0</v>
      </c>
      <c r="AQ82" s="3">
        <f t="shared" si="57"/>
        <v>0</v>
      </c>
      <c r="AR82" s="3">
        <f t="shared" si="57"/>
        <v>3763</v>
      </c>
      <c r="AS82" s="3">
        <f t="shared" si="57"/>
        <v>3763</v>
      </c>
      <c r="AT82" s="3">
        <f t="shared" si="57"/>
        <v>0</v>
      </c>
      <c r="AU82" s="3">
        <f t="shared" si="57"/>
        <v>0</v>
      </c>
      <c r="AV82" s="3">
        <f t="shared" si="57"/>
        <v>3207</v>
      </c>
      <c r="AW82" s="3">
        <f t="shared" si="57"/>
        <v>3207</v>
      </c>
      <c r="AX82" s="3">
        <f t="shared" si="57"/>
        <v>0</v>
      </c>
      <c r="AY82" s="3">
        <f t="shared" si="57"/>
        <v>3207</v>
      </c>
      <c r="AZ82" s="3">
        <f t="shared" si="57"/>
        <v>0</v>
      </c>
      <c r="BA82" s="3">
        <f t="shared" si="57"/>
        <v>0</v>
      </c>
      <c r="BB82" s="3">
        <f t="shared" si="57"/>
        <v>0</v>
      </c>
      <c r="BC82" s="3">
        <f t="shared" si="57"/>
        <v>0</v>
      </c>
      <c r="BD82" s="3">
        <f t="shared" si="57"/>
        <v>0</v>
      </c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4">
        <f t="shared" ref="DG82:DL82" si="58">ROUND(DG52,0)</f>
        <v>18998</v>
      </c>
      <c r="DH82" s="4">
        <f t="shared" si="58"/>
        <v>13801</v>
      </c>
      <c r="DI82" s="4">
        <f t="shared" si="58"/>
        <v>1845</v>
      </c>
      <c r="DJ82" s="4">
        <f t="shared" si="58"/>
        <v>516</v>
      </c>
      <c r="DK82" s="4">
        <f t="shared" si="58"/>
        <v>3352</v>
      </c>
      <c r="DL82" s="4">
        <f t="shared" si="58"/>
        <v>0</v>
      </c>
      <c r="DM82" s="4" t="e">
        <f>DM52</f>
        <v>#REF!</v>
      </c>
      <c r="DN82" s="4">
        <f>DN52</f>
        <v>2.04542</v>
      </c>
      <c r="DO82" s="4">
        <f>ROUND(DO52,0)</f>
        <v>18</v>
      </c>
      <c r="DP82" s="4" t="e">
        <f>ROUND(DP52,0)</f>
        <v>#REF!</v>
      </c>
      <c r="DQ82" s="4" t="e">
        <f>ROUND(DQ52,0)</f>
        <v>#REF!</v>
      </c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>
        <f t="shared" ref="EG82:EV82" si="59">ROUND(EG52,0)</f>
        <v>0</v>
      </c>
      <c r="EH82" s="4">
        <f t="shared" si="59"/>
        <v>0</v>
      </c>
      <c r="EI82" s="4">
        <f t="shared" si="59"/>
        <v>0</v>
      </c>
      <c r="EJ82" s="4" t="e">
        <f t="shared" si="59"/>
        <v>#REF!</v>
      </c>
      <c r="EK82" s="4" t="e">
        <f t="shared" si="59"/>
        <v>#REF!</v>
      </c>
      <c r="EL82" s="4">
        <f t="shared" si="59"/>
        <v>0</v>
      </c>
      <c r="EM82" s="4">
        <f t="shared" si="59"/>
        <v>0</v>
      </c>
      <c r="EN82" s="4">
        <f t="shared" si="59"/>
        <v>13801</v>
      </c>
      <c r="EO82" s="4">
        <f t="shared" si="59"/>
        <v>13801</v>
      </c>
      <c r="EP82" s="4">
        <f t="shared" si="59"/>
        <v>0</v>
      </c>
      <c r="EQ82" s="4">
        <f t="shared" si="59"/>
        <v>13801</v>
      </c>
      <c r="ER82" s="4">
        <f t="shared" si="59"/>
        <v>0</v>
      </c>
      <c r="ES82" s="4">
        <f t="shared" si="59"/>
        <v>0</v>
      </c>
      <c r="ET82" s="4">
        <f t="shared" si="59"/>
        <v>0</v>
      </c>
      <c r="EU82" s="4">
        <f t="shared" si="59"/>
        <v>0</v>
      </c>
      <c r="EV82" s="4">
        <f t="shared" si="59"/>
        <v>0</v>
      </c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>
        <v>0</v>
      </c>
      <c r="IF82">
        <v>-1</v>
      </c>
    </row>
    <row r="83" spans="1:240" x14ac:dyDescent="0.2">
      <c r="IF83">
        <v>-1</v>
      </c>
    </row>
    <row r="84" spans="1:240" x14ac:dyDescent="0.2">
      <c r="A84" s="5">
        <v>50</v>
      </c>
      <c r="B84" s="5">
        <v>0</v>
      </c>
      <c r="C84" s="5">
        <v>0</v>
      </c>
      <c r="D84" s="5">
        <v>1</v>
      </c>
      <c r="E84" s="5">
        <v>201</v>
      </c>
      <c r="F84" s="5">
        <f>ROUND(Source!O82,O84)</f>
        <v>3493</v>
      </c>
      <c r="G84" s="5" t="s">
        <v>96</v>
      </c>
      <c r="H84" s="5" t="s">
        <v>97</v>
      </c>
      <c r="I84" s="5"/>
      <c r="J84" s="5"/>
      <c r="K84" s="5">
        <v>201</v>
      </c>
      <c r="L84" s="5">
        <v>1</v>
      </c>
      <c r="M84" s="5">
        <v>3</v>
      </c>
      <c r="N84" s="5" t="s">
        <v>3</v>
      </c>
      <c r="O84" s="5">
        <v>0</v>
      </c>
      <c r="P84" s="5">
        <f>ROUND(Source!DG82,O84)</f>
        <v>18998</v>
      </c>
      <c r="Q84" s="5"/>
      <c r="R84" s="5"/>
      <c r="S84" s="5"/>
      <c r="T84" s="5"/>
      <c r="U84" s="5"/>
      <c r="V84" s="5"/>
      <c r="W84" s="5">
        <v>3493</v>
      </c>
      <c r="X84" s="5">
        <v>1</v>
      </c>
      <c r="Y84" s="5">
        <v>3493</v>
      </c>
      <c r="Z84" s="5">
        <v>18998</v>
      </c>
      <c r="AA84" s="5">
        <v>1</v>
      </c>
      <c r="AB84" s="5">
        <v>18998</v>
      </c>
      <c r="IF84">
        <v>-1</v>
      </c>
    </row>
    <row r="85" spans="1:240" x14ac:dyDescent="0.2">
      <c r="A85" s="5">
        <v>50</v>
      </c>
      <c r="B85" s="5">
        <v>0</v>
      </c>
      <c r="C85" s="5">
        <v>0</v>
      </c>
      <c r="D85" s="5">
        <v>1</v>
      </c>
      <c r="E85" s="5">
        <v>202</v>
      </c>
      <c r="F85" s="5">
        <f>ROUND(Source!P82,O85)</f>
        <v>3207</v>
      </c>
      <c r="G85" s="5" t="s">
        <v>98</v>
      </c>
      <c r="H85" s="5" t="s">
        <v>99</v>
      </c>
      <c r="I85" s="5"/>
      <c r="J85" s="5"/>
      <c r="K85" s="5">
        <v>202</v>
      </c>
      <c r="L85" s="5">
        <v>2</v>
      </c>
      <c r="M85" s="5">
        <v>3</v>
      </c>
      <c r="N85" s="5" t="s">
        <v>3</v>
      </c>
      <c r="O85" s="5">
        <v>0</v>
      </c>
      <c r="P85" s="5">
        <f>ROUND(Source!DH82,O85)</f>
        <v>13801</v>
      </c>
      <c r="Q85" s="5"/>
      <c r="R85" s="5"/>
      <c r="S85" s="5"/>
      <c r="T85" s="5"/>
      <c r="U85" s="5"/>
      <c r="V85" s="5"/>
      <c r="W85" s="5">
        <v>3207</v>
      </c>
      <c r="X85" s="5">
        <v>1</v>
      </c>
      <c r="Y85" s="5">
        <v>3207</v>
      </c>
      <c r="Z85" s="5">
        <v>13801</v>
      </c>
      <c r="AA85" s="5">
        <v>1</v>
      </c>
      <c r="AB85" s="5">
        <v>13801</v>
      </c>
      <c r="IF85">
        <v>-1</v>
      </c>
    </row>
    <row r="86" spans="1:240" x14ac:dyDescent="0.2">
      <c r="A86" s="5">
        <v>50</v>
      </c>
      <c r="B86" s="5">
        <v>0</v>
      </c>
      <c r="C86" s="5">
        <v>0</v>
      </c>
      <c r="D86" s="5">
        <v>1</v>
      </c>
      <c r="E86" s="5">
        <v>222</v>
      </c>
      <c r="F86" s="5">
        <f>ROUND(Source!AO82,O86)</f>
        <v>0</v>
      </c>
      <c r="G86" s="5" t="s">
        <v>100</v>
      </c>
      <c r="H86" s="5" t="s">
        <v>101</v>
      </c>
      <c r="I86" s="5"/>
      <c r="J86" s="5"/>
      <c r="K86" s="5">
        <v>222</v>
      </c>
      <c r="L86" s="5">
        <v>3</v>
      </c>
      <c r="M86" s="5">
        <v>3</v>
      </c>
      <c r="N86" s="5" t="s">
        <v>3</v>
      </c>
      <c r="O86" s="5">
        <v>0</v>
      </c>
      <c r="P86" s="5">
        <f>ROUND(Source!EG82,O86)</f>
        <v>0</v>
      </c>
      <c r="Q86" s="5"/>
      <c r="R86" s="5"/>
      <c r="S86" s="5"/>
      <c r="T86" s="5"/>
      <c r="U86" s="5"/>
      <c r="V86" s="5"/>
      <c r="W86" s="5">
        <v>0</v>
      </c>
      <c r="X86" s="5">
        <v>1</v>
      </c>
      <c r="Y86" s="5">
        <v>0</v>
      </c>
      <c r="Z86" s="5">
        <v>0</v>
      </c>
      <c r="AA86" s="5">
        <v>1</v>
      </c>
      <c r="AB86" s="5">
        <v>0</v>
      </c>
      <c r="IF86">
        <v>-1</v>
      </c>
    </row>
    <row r="87" spans="1:240" x14ac:dyDescent="0.2">
      <c r="A87" s="5">
        <v>50</v>
      </c>
      <c r="B87" s="5">
        <v>0</v>
      </c>
      <c r="C87" s="5">
        <v>0</v>
      </c>
      <c r="D87" s="5">
        <v>1</v>
      </c>
      <c r="E87" s="5">
        <v>225</v>
      </c>
      <c r="F87" s="5">
        <f>ROUND(Source!AV82,O87)</f>
        <v>3207</v>
      </c>
      <c r="G87" s="5" t="s">
        <v>102</v>
      </c>
      <c r="H87" s="5" t="s">
        <v>103</v>
      </c>
      <c r="I87" s="5"/>
      <c r="J87" s="5"/>
      <c r="K87" s="5">
        <v>225</v>
      </c>
      <c r="L87" s="5">
        <v>4</v>
      </c>
      <c r="M87" s="5">
        <v>3</v>
      </c>
      <c r="N87" s="5" t="s">
        <v>3</v>
      </c>
      <c r="O87" s="5">
        <v>0</v>
      </c>
      <c r="P87" s="5">
        <f>ROUND(Source!EN82,O87)</f>
        <v>13801</v>
      </c>
      <c r="Q87" s="5"/>
      <c r="R87" s="5"/>
      <c r="S87" s="5"/>
      <c r="T87" s="5"/>
      <c r="U87" s="5"/>
      <c r="V87" s="5"/>
      <c r="W87" s="5">
        <v>3207</v>
      </c>
      <c r="X87" s="5">
        <v>1</v>
      </c>
      <c r="Y87" s="5">
        <v>3207</v>
      </c>
      <c r="Z87" s="5">
        <v>13801</v>
      </c>
      <c r="AA87" s="5">
        <v>1</v>
      </c>
      <c r="AB87" s="5">
        <v>13801</v>
      </c>
      <c r="IF87">
        <v>-1</v>
      </c>
    </row>
    <row r="88" spans="1:240" x14ac:dyDescent="0.2">
      <c r="A88" s="5">
        <v>50</v>
      </c>
      <c r="B88" s="5">
        <v>0</v>
      </c>
      <c r="C88" s="5">
        <v>0</v>
      </c>
      <c r="D88" s="5">
        <v>1</v>
      </c>
      <c r="E88" s="5">
        <v>226</v>
      </c>
      <c r="F88" s="5">
        <f>ROUND(Source!AW82,O88)</f>
        <v>3207</v>
      </c>
      <c r="G88" s="5" t="s">
        <v>104</v>
      </c>
      <c r="H88" s="5" t="s">
        <v>105</v>
      </c>
      <c r="I88" s="5"/>
      <c r="J88" s="5"/>
      <c r="K88" s="5">
        <v>226</v>
      </c>
      <c r="L88" s="5">
        <v>5</v>
      </c>
      <c r="M88" s="5">
        <v>3</v>
      </c>
      <c r="N88" s="5" t="s">
        <v>3</v>
      </c>
      <c r="O88" s="5">
        <v>0</v>
      </c>
      <c r="P88" s="5">
        <f>ROUND(Source!EO82,O88)</f>
        <v>13801</v>
      </c>
      <c r="Q88" s="5"/>
      <c r="R88" s="5"/>
      <c r="S88" s="5"/>
      <c r="T88" s="5"/>
      <c r="U88" s="5"/>
      <c r="V88" s="5"/>
      <c r="W88" s="5">
        <v>3207</v>
      </c>
      <c r="X88" s="5">
        <v>1</v>
      </c>
      <c r="Y88" s="5">
        <v>3207</v>
      </c>
      <c r="Z88" s="5">
        <v>13801</v>
      </c>
      <c r="AA88" s="5">
        <v>1</v>
      </c>
      <c r="AB88" s="5">
        <v>13801</v>
      </c>
      <c r="IF88">
        <v>-1</v>
      </c>
    </row>
    <row r="89" spans="1:240" x14ac:dyDescent="0.2">
      <c r="A89" s="5">
        <v>50</v>
      </c>
      <c r="B89" s="5">
        <v>0</v>
      </c>
      <c r="C89" s="5">
        <v>0</v>
      </c>
      <c r="D89" s="5">
        <v>1</v>
      </c>
      <c r="E89" s="5">
        <v>227</v>
      </c>
      <c r="F89" s="5">
        <f>ROUND(Source!AX82,O89)</f>
        <v>0</v>
      </c>
      <c r="G89" s="5" t="s">
        <v>106</v>
      </c>
      <c r="H89" s="5" t="s">
        <v>107</v>
      </c>
      <c r="I89" s="5"/>
      <c r="J89" s="5"/>
      <c r="K89" s="5">
        <v>227</v>
      </c>
      <c r="L89" s="5">
        <v>6</v>
      </c>
      <c r="M89" s="5">
        <v>3</v>
      </c>
      <c r="N89" s="5" t="s">
        <v>3</v>
      </c>
      <c r="O89" s="5">
        <v>0</v>
      </c>
      <c r="P89" s="5">
        <f>ROUND(Source!EP82,O89)</f>
        <v>0</v>
      </c>
      <c r="Q89" s="5"/>
      <c r="R89" s="5"/>
      <c r="S89" s="5"/>
      <c r="T89" s="5"/>
      <c r="U89" s="5"/>
      <c r="V89" s="5"/>
      <c r="W89" s="5">
        <v>0</v>
      </c>
      <c r="X89" s="5">
        <v>1</v>
      </c>
      <c r="Y89" s="5">
        <v>0</v>
      </c>
      <c r="Z89" s="5">
        <v>0</v>
      </c>
      <c r="AA89" s="5">
        <v>1</v>
      </c>
      <c r="AB89" s="5">
        <v>0</v>
      </c>
      <c r="IF89">
        <v>-1</v>
      </c>
    </row>
    <row r="90" spans="1:240" x14ac:dyDescent="0.2">
      <c r="A90" s="5">
        <v>50</v>
      </c>
      <c r="B90" s="5">
        <v>0</v>
      </c>
      <c r="C90" s="5">
        <v>0</v>
      </c>
      <c r="D90" s="5">
        <v>1</v>
      </c>
      <c r="E90" s="5">
        <v>228</v>
      </c>
      <c r="F90" s="5">
        <f>ROUND(Source!AY82,O90)</f>
        <v>3207</v>
      </c>
      <c r="G90" s="5" t="s">
        <v>108</v>
      </c>
      <c r="H90" s="5" t="s">
        <v>109</v>
      </c>
      <c r="I90" s="5"/>
      <c r="J90" s="5"/>
      <c r="K90" s="5">
        <v>228</v>
      </c>
      <c r="L90" s="5">
        <v>7</v>
      </c>
      <c r="M90" s="5">
        <v>3</v>
      </c>
      <c r="N90" s="5" t="s">
        <v>3</v>
      </c>
      <c r="O90" s="5">
        <v>0</v>
      </c>
      <c r="P90" s="5">
        <f>ROUND(Source!EQ82,O90)</f>
        <v>13801</v>
      </c>
      <c r="Q90" s="5"/>
      <c r="R90" s="5"/>
      <c r="S90" s="5"/>
      <c r="T90" s="5"/>
      <c r="U90" s="5"/>
      <c r="V90" s="5"/>
      <c r="W90" s="5">
        <v>3207</v>
      </c>
      <c r="X90" s="5">
        <v>1</v>
      </c>
      <c r="Y90" s="5">
        <v>3207</v>
      </c>
      <c r="Z90" s="5">
        <v>13801</v>
      </c>
      <c r="AA90" s="5">
        <v>1</v>
      </c>
      <c r="AB90" s="5">
        <v>13801</v>
      </c>
      <c r="IF90">
        <v>-1</v>
      </c>
    </row>
    <row r="91" spans="1:240" x14ac:dyDescent="0.2">
      <c r="A91" s="5">
        <v>50</v>
      </c>
      <c r="B91" s="5">
        <v>0</v>
      </c>
      <c r="C91" s="5">
        <v>0</v>
      </c>
      <c r="D91" s="5">
        <v>1</v>
      </c>
      <c r="E91" s="5">
        <v>216</v>
      </c>
      <c r="F91" s="5">
        <f>ROUND(Source!AP82,O91)</f>
        <v>0</v>
      </c>
      <c r="G91" s="5" t="s">
        <v>110</v>
      </c>
      <c r="H91" s="5" t="s">
        <v>111</v>
      </c>
      <c r="I91" s="5"/>
      <c r="J91" s="5"/>
      <c r="K91" s="5">
        <v>216</v>
      </c>
      <c r="L91" s="5">
        <v>8</v>
      </c>
      <c r="M91" s="5">
        <v>3</v>
      </c>
      <c r="N91" s="5" t="s">
        <v>3</v>
      </c>
      <c r="O91" s="5">
        <v>0</v>
      </c>
      <c r="P91" s="5">
        <f>ROUND(Source!EH82,O91)</f>
        <v>0</v>
      </c>
      <c r="Q91" s="5"/>
      <c r="R91" s="5"/>
      <c r="S91" s="5"/>
      <c r="T91" s="5"/>
      <c r="U91" s="5"/>
      <c r="V91" s="5"/>
      <c r="W91" s="5">
        <v>0</v>
      </c>
      <c r="X91" s="5">
        <v>1</v>
      </c>
      <c r="Y91" s="5">
        <v>0</v>
      </c>
      <c r="Z91" s="5">
        <v>0</v>
      </c>
      <c r="AA91" s="5">
        <v>1</v>
      </c>
      <c r="AB91" s="5">
        <v>0</v>
      </c>
      <c r="IF91">
        <v>-1</v>
      </c>
    </row>
    <row r="92" spans="1:240" x14ac:dyDescent="0.2">
      <c r="A92" s="5">
        <v>50</v>
      </c>
      <c r="B92" s="5">
        <v>0</v>
      </c>
      <c r="C92" s="5">
        <v>0</v>
      </c>
      <c r="D92" s="5">
        <v>1</v>
      </c>
      <c r="E92" s="5">
        <v>223</v>
      </c>
      <c r="F92" s="5">
        <f>ROUND(Source!AQ82,O92)</f>
        <v>0</v>
      </c>
      <c r="G92" s="5" t="s">
        <v>112</v>
      </c>
      <c r="H92" s="5" t="s">
        <v>113</v>
      </c>
      <c r="I92" s="5"/>
      <c r="J92" s="5"/>
      <c r="K92" s="5">
        <v>223</v>
      </c>
      <c r="L92" s="5">
        <v>9</v>
      </c>
      <c r="M92" s="5">
        <v>3</v>
      </c>
      <c r="N92" s="5" t="s">
        <v>3</v>
      </c>
      <c r="O92" s="5">
        <v>0</v>
      </c>
      <c r="P92" s="5">
        <f>ROUND(Source!EI82,O92)</f>
        <v>0</v>
      </c>
      <c r="Q92" s="5"/>
      <c r="R92" s="5"/>
      <c r="S92" s="5"/>
      <c r="T92" s="5"/>
      <c r="U92" s="5"/>
      <c r="V92" s="5"/>
      <c r="W92" s="5">
        <v>0</v>
      </c>
      <c r="X92" s="5">
        <v>1</v>
      </c>
      <c r="Y92" s="5">
        <v>0</v>
      </c>
      <c r="Z92" s="5">
        <v>0</v>
      </c>
      <c r="AA92" s="5">
        <v>1</v>
      </c>
      <c r="AB92" s="5">
        <v>0</v>
      </c>
      <c r="IF92">
        <v>-1</v>
      </c>
    </row>
    <row r="93" spans="1:240" x14ac:dyDescent="0.2">
      <c r="A93" s="5">
        <v>50</v>
      </c>
      <c r="B93" s="5">
        <v>0</v>
      </c>
      <c r="C93" s="5">
        <v>0</v>
      </c>
      <c r="D93" s="5">
        <v>1</v>
      </c>
      <c r="E93" s="5">
        <v>229</v>
      </c>
      <c r="F93" s="5">
        <f>ROUND(Source!AZ82,O93)</f>
        <v>0</v>
      </c>
      <c r="G93" s="5" t="s">
        <v>114</v>
      </c>
      <c r="H93" s="5" t="s">
        <v>115</v>
      </c>
      <c r="I93" s="5"/>
      <c r="J93" s="5"/>
      <c r="K93" s="5">
        <v>229</v>
      </c>
      <c r="L93" s="5">
        <v>10</v>
      </c>
      <c r="M93" s="5">
        <v>3</v>
      </c>
      <c r="N93" s="5" t="s">
        <v>3</v>
      </c>
      <c r="O93" s="5">
        <v>0</v>
      </c>
      <c r="P93" s="5">
        <f>ROUND(Source!ER82,O93)</f>
        <v>0</v>
      </c>
      <c r="Q93" s="5"/>
      <c r="R93" s="5"/>
      <c r="S93" s="5"/>
      <c r="T93" s="5"/>
      <c r="U93" s="5"/>
      <c r="V93" s="5"/>
      <c r="W93" s="5">
        <v>0</v>
      </c>
      <c r="X93" s="5">
        <v>1</v>
      </c>
      <c r="Y93" s="5">
        <v>0</v>
      </c>
      <c r="Z93" s="5">
        <v>0</v>
      </c>
      <c r="AA93" s="5">
        <v>1</v>
      </c>
      <c r="AB93" s="5">
        <v>0</v>
      </c>
      <c r="IF93">
        <v>-1</v>
      </c>
    </row>
    <row r="94" spans="1:240" x14ac:dyDescent="0.2">
      <c r="A94" s="5">
        <v>50</v>
      </c>
      <c r="B94" s="5">
        <v>0</v>
      </c>
      <c r="C94" s="5">
        <v>0</v>
      </c>
      <c r="D94" s="5">
        <v>1</v>
      </c>
      <c r="E94" s="5">
        <v>203</v>
      </c>
      <c r="F94" s="5">
        <f>ROUND(Source!Q82,O94)</f>
        <v>198</v>
      </c>
      <c r="G94" s="5" t="s">
        <v>116</v>
      </c>
      <c r="H94" s="5" t="s">
        <v>117</v>
      </c>
      <c r="I94" s="5"/>
      <c r="J94" s="5"/>
      <c r="K94" s="5">
        <v>203</v>
      </c>
      <c r="L94" s="5">
        <v>11</v>
      </c>
      <c r="M94" s="5">
        <v>3</v>
      </c>
      <c r="N94" s="5" t="s">
        <v>3</v>
      </c>
      <c r="O94" s="5">
        <v>0</v>
      </c>
      <c r="P94" s="5">
        <f>ROUND(Source!DI82,O94)</f>
        <v>1845</v>
      </c>
      <c r="Q94" s="5"/>
      <c r="R94" s="5"/>
      <c r="S94" s="5"/>
      <c r="T94" s="5"/>
      <c r="U94" s="5"/>
      <c r="V94" s="5"/>
      <c r="W94" s="5">
        <v>198</v>
      </c>
      <c r="X94" s="5">
        <v>1</v>
      </c>
      <c r="Y94" s="5">
        <v>198</v>
      </c>
      <c r="Z94" s="5">
        <v>1845</v>
      </c>
      <c r="AA94" s="5">
        <v>1</v>
      </c>
      <c r="AB94" s="5">
        <v>1845</v>
      </c>
      <c r="IF94">
        <v>-1</v>
      </c>
    </row>
    <row r="95" spans="1:240" x14ac:dyDescent="0.2">
      <c r="A95" s="5">
        <v>50</v>
      </c>
      <c r="B95" s="5">
        <v>0</v>
      </c>
      <c r="C95" s="5">
        <v>0</v>
      </c>
      <c r="D95" s="5">
        <v>1</v>
      </c>
      <c r="E95" s="5">
        <v>231</v>
      </c>
      <c r="F95" s="5">
        <f>ROUND(Source!BB82,O95)</f>
        <v>0</v>
      </c>
      <c r="G95" s="5" t="s">
        <v>118</v>
      </c>
      <c r="H95" s="5" t="s">
        <v>119</v>
      </c>
      <c r="I95" s="5"/>
      <c r="J95" s="5"/>
      <c r="K95" s="5">
        <v>231</v>
      </c>
      <c r="L95" s="5">
        <v>12</v>
      </c>
      <c r="M95" s="5">
        <v>3</v>
      </c>
      <c r="N95" s="5" t="s">
        <v>3</v>
      </c>
      <c r="O95" s="5">
        <v>0</v>
      </c>
      <c r="P95" s="5">
        <f>ROUND(Source!ET82,O95)</f>
        <v>0</v>
      </c>
      <c r="Q95" s="5"/>
      <c r="R95" s="5"/>
      <c r="S95" s="5"/>
      <c r="T95" s="5"/>
      <c r="U95" s="5"/>
      <c r="V95" s="5"/>
      <c r="W95" s="5">
        <v>0</v>
      </c>
      <c r="X95" s="5">
        <v>1</v>
      </c>
      <c r="Y95" s="5">
        <v>0</v>
      </c>
      <c r="Z95" s="5">
        <v>0</v>
      </c>
      <c r="AA95" s="5">
        <v>1</v>
      </c>
      <c r="AB95" s="5">
        <v>0</v>
      </c>
      <c r="IF95">
        <v>-1</v>
      </c>
    </row>
    <row r="96" spans="1:240" x14ac:dyDescent="0.2">
      <c r="A96" s="5">
        <v>50</v>
      </c>
      <c r="B96" s="5">
        <v>0</v>
      </c>
      <c r="C96" s="5">
        <v>0</v>
      </c>
      <c r="D96" s="5">
        <v>1</v>
      </c>
      <c r="E96" s="5">
        <v>204</v>
      </c>
      <c r="F96" s="5">
        <f>ROUND(Source!R82,O96)</f>
        <v>26</v>
      </c>
      <c r="G96" s="5" t="s">
        <v>120</v>
      </c>
      <c r="H96" s="5" t="s">
        <v>121</v>
      </c>
      <c r="I96" s="5"/>
      <c r="J96" s="5"/>
      <c r="K96" s="5">
        <v>204</v>
      </c>
      <c r="L96" s="5">
        <v>13</v>
      </c>
      <c r="M96" s="5">
        <v>3</v>
      </c>
      <c r="N96" s="5" t="s">
        <v>3</v>
      </c>
      <c r="O96" s="5">
        <v>0</v>
      </c>
      <c r="P96" s="5">
        <f>ROUND(Source!DJ82,O96)</f>
        <v>516</v>
      </c>
      <c r="Q96" s="5"/>
      <c r="R96" s="5"/>
      <c r="S96" s="5"/>
      <c r="T96" s="5"/>
      <c r="U96" s="5"/>
      <c r="V96" s="5"/>
      <c r="W96" s="5">
        <v>26</v>
      </c>
      <c r="X96" s="5">
        <v>1</v>
      </c>
      <c r="Y96" s="5">
        <v>26</v>
      </c>
      <c r="Z96" s="5">
        <v>516</v>
      </c>
      <c r="AA96" s="5">
        <v>1</v>
      </c>
      <c r="AB96" s="5">
        <v>516</v>
      </c>
      <c r="IF96">
        <v>-1</v>
      </c>
    </row>
    <row r="97" spans="1:240" x14ac:dyDescent="0.2">
      <c r="A97" s="5">
        <v>50</v>
      </c>
      <c r="B97" s="5">
        <v>0</v>
      </c>
      <c r="C97" s="5">
        <v>0</v>
      </c>
      <c r="D97" s="5">
        <v>1</v>
      </c>
      <c r="E97" s="5">
        <v>205</v>
      </c>
      <c r="F97" s="5">
        <f>ROUND(Source!S82,O97)</f>
        <v>88</v>
      </c>
      <c r="G97" s="5" t="s">
        <v>122</v>
      </c>
      <c r="H97" s="5" t="s">
        <v>123</v>
      </c>
      <c r="I97" s="5"/>
      <c r="J97" s="5"/>
      <c r="K97" s="5">
        <v>205</v>
      </c>
      <c r="L97" s="5">
        <v>14</v>
      </c>
      <c r="M97" s="5">
        <v>3</v>
      </c>
      <c r="N97" s="5" t="s">
        <v>3</v>
      </c>
      <c r="O97" s="5">
        <v>0</v>
      </c>
      <c r="P97" s="5">
        <f>ROUND(Source!DK82,O97)</f>
        <v>3352</v>
      </c>
      <c r="Q97" s="5"/>
      <c r="R97" s="5"/>
      <c r="S97" s="5"/>
      <c r="T97" s="5"/>
      <c r="U97" s="5"/>
      <c r="V97" s="5"/>
      <c r="W97" s="5">
        <v>88</v>
      </c>
      <c r="X97" s="5">
        <v>1</v>
      </c>
      <c r="Y97" s="5">
        <v>88</v>
      </c>
      <c r="Z97" s="5">
        <v>3352</v>
      </c>
      <c r="AA97" s="5">
        <v>1</v>
      </c>
      <c r="AB97" s="5">
        <v>3352</v>
      </c>
      <c r="IF97">
        <v>-1</v>
      </c>
    </row>
    <row r="98" spans="1:240" x14ac:dyDescent="0.2">
      <c r="A98" s="5">
        <v>50</v>
      </c>
      <c r="B98" s="5">
        <v>0</v>
      </c>
      <c r="C98" s="5">
        <v>0</v>
      </c>
      <c r="D98" s="5">
        <v>1</v>
      </c>
      <c r="E98" s="5">
        <v>232</v>
      </c>
      <c r="F98" s="5">
        <f>ROUND(Source!BC82,O98)</f>
        <v>0</v>
      </c>
      <c r="G98" s="5" t="s">
        <v>124</v>
      </c>
      <c r="H98" s="5" t="s">
        <v>125</v>
      </c>
      <c r="I98" s="5"/>
      <c r="J98" s="5"/>
      <c r="K98" s="5">
        <v>232</v>
      </c>
      <c r="L98" s="5">
        <v>15</v>
      </c>
      <c r="M98" s="5">
        <v>3</v>
      </c>
      <c r="N98" s="5" t="s">
        <v>3</v>
      </c>
      <c r="O98" s="5">
        <v>0</v>
      </c>
      <c r="P98" s="5">
        <f>ROUND(Source!EU82,O98)</f>
        <v>0</v>
      </c>
      <c r="Q98" s="5"/>
      <c r="R98" s="5"/>
      <c r="S98" s="5"/>
      <c r="T98" s="5"/>
      <c r="U98" s="5"/>
      <c r="V98" s="5"/>
      <c r="W98" s="5">
        <v>0</v>
      </c>
      <c r="X98" s="5">
        <v>1</v>
      </c>
      <c r="Y98" s="5">
        <v>0</v>
      </c>
      <c r="Z98" s="5">
        <v>0</v>
      </c>
      <c r="AA98" s="5">
        <v>1</v>
      </c>
      <c r="AB98" s="5">
        <v>0</v>
      </c>
      <c r="IF98">
        <v>-1</v>
      </c>
    </row>
    <row r="99" spans="1:240" x14ac:dyDescent="0.2">
      <c r="A99" s="5">
        <v>50</v>
      </c>
      <c r="B99" s="5">
        <v>0</v>
      </c>
      <c r="C99" s="5">
        <v>0</v>
      </c>
      <c r="D99" s="5">
        <v>1</v>
      </c>
      <c r="E99" s="5">
        <v>214</v>
      </c>
      <c r="F99" s="5">
        <f>ROUND(Source!AS82,O99)</f>
        <v>3763</v>
      </c>
      <c r="G99" s="5" t="s">
        <v>126</v>
      </c>
      <c r="H99" s="5" t="s">
        <v>127</v>
      </c>
      <c r="I99" s="5"/>
      <c r="J99" s="5"/>
      <c r="K99" s="5">
        <v>214</v>
      </c>
      <c r="L99" s="5">
        <v>16</v>
      </c>
      <c r="M99" s="5">
        <v>3</v>
      </c>
      <c r="N99" s="5" t="s">
        <v>3</v>
      </c>
      <c r="O99" s="5">
        <v>0</v>
      </c>
      <c r="P99" s="5" t="e">
        <f>ROUND(Source!EK82,O99)</f>
        <v>#REF!</v>
      </c>
      <c r="Q99" s="5"/>
      <c r="R99" s="5"/>
      <c r="S99" s="5"/>
      <c r="T99" s="5"/>
      <c r="U99" s="5"/>
      <c r="V99" s="5"/>
      <c r="W99" s="5">
        <v>3763</v>
      </c>
      <c r="X99" s="5">
        <v>1</v>
      </c>
      <c r="Y99" s="5">
        <v>3763</v>
      </c>
      <c r="Z99" s="5">
        <v>27354</v>
      </c>
      <c r="AA99" s="5">
        <v>1</v>
      </c>
      <c r="AB99" s="5">
        <v>27354</v>
      </c>
      <c r="IF99">
        <v>-1</v>
      </c>
    </row>
    <row r="100" spans="1:240" x14ac:dyDescent="0.2">
      <c r="A100" s="5">
        <v>50</v>
      </c>
      <c r="B100" s="5">
        <v>0</v>
      </c>
      <c r="C100" s="5">
        <v>0</v>
      </c>
      <c r="D100" s="5">
        <v>1</v>
      </c>
      <c r="E100" s="5">
        <v>215</v>
      </c>
      <c r="F100" s="5">
        <f>ROUND(Source!AT82,O100)</f>
        <v>0</v>
      </c>
      <c r="G100" s="5" t="s">
        <v>128</v>
      </c>
      <c r="H100" s="5" t="s">
        <v>129</v>
      </c>
      <c r="I100" s="5"/>
      <c r="J100" s="5"/>
      <c r="K100" s="5">
        <v>215</v>
      </c>
      <c r="L100" s="5">
        <v>17</v>
      </c>
      <c r="M100" s="5">
        <v>3</v>
      </c>
      <c r="N100" s="5" t="s">
        <v>3</v>
      </c>
      <c r="O100" s="5">
        <v>0</v>
      </c>
      <c r="P100" s="5">
        <f>ROUND(Source!EL82,O100)</f>
        <v>0</v>
      </c>
      <c r="Q100" s="5"/>
      <c r="R100" s="5"/>
      <c r="S100" s="5"/>
      <c r="T100" s="5"/>
      <c r="U100" s="5"/>
      <c r="V100" s="5"/>
      <c r="W100" s="5">
        <v>0</v>
      </c>
      <c r="X100" s="5">
        <v>1</v>
      </c>
      <c r="Y100" s="5">
        <v>0</v>
      </c>
      <c r="Z100" s="5">
        <v>0</v>
      </c>
      <c r="AA100" s="5">
        <v>1</v>
      </c>
      <c r="AB100" s="5">
        <v>0</v>
      </c>
      <c r="IF100">
        <v>-1</v>
      </c>
    </row>
    <row r="101" spans="1:240" x14ac:dyDescent="0.2">
      <c r="A101" s="5">
        <v>50</v>
      </c>
      <c r="B101" s="5">
        <v>0</v>
      </c>
      <c r="C101" s="5">
        <v>0</v>
      </c>
      <c r="D101" s="5">
        <v>1</v>
      </c>
      <c r="E101" s="5">
        <v>217</v>
      </c>
      <c r="F101" s="5">
        <f>ROUND(Source!AU82,O101)</f>
        <v>0</v>
      </c>
      <c r="G101" s="5" t="s">
        <v>130</v>
      </c>
      <c r="H101" s="5" t="s">
        <v>131</v>
      </c>
      <c r="I101" s="5"/>
      <c r="J101" s="5"/>
      <c r="K101" s="5">
        <v>217</v>
      </c>
      <c r="L101" s="5">
        <v>18</v>
      </c>
      <c r="M101" s="5">
        <v>3</v>
      </c>
      <c r="N101" s="5" t="s">
        <v>3</v>
      </c>
      <c r="O101" s="5">
        <v>0</v>
      </c>
      <c r="P101" s="5">
        <f>ROUND(Source!EM82,O101)</f>
        <v>0</v>
      </c>
      <c r="Q101" s="5"/>
      <c r="R101" s="5"/>
      <c r="S101" s="5"/>
      <c r="T101" s="5"/>
      <c r="U101" s="5"/>
      <c r="V101" s="5"/>
      <c r="W101" s="5">
        <v>0</v>
      </c>
      <c r="X101" s="5">
        <v>1</v>
      </c>
      <c r="Y101" s="5">
        <v>0</v>
      </c>
      <c r="Z101" s="5">
        <v>0</v>
      </c>
      <c r="AA101" s="5">
        <v>1</v>
      </c>
      <c r="AB101" s="5">
        <v>0</v>
      </c>
      <c r="IF101">
        <v>-1</v>
      </c>
    </row>
    <row r="102" spans="1:240" x14ac:dyDescent="0.2">
      <c r="A102" s="5">
        <v>50</v>
      </c>
      <c r="B102" s="5">
        <v>0</v>
      </c>
      <c r="C102" s="5">
        <v>0</v>
      </c>
      <c r="D102" s="5">
        <v>1</v>
      </c>
      <c r="E102" s="5">
        <v>230</v>
      </c>
      <c r="F102" s="5">
        <f>ROUND(Source!BA82,O102)</f>
        <v>0</v>
      </c>
      <c r="G102" s="5" t="s">
        <v>132</v>
      </c>
      <c r="H102" s="5" t="s">
        <v>133</v>
      </c>
      <c r="I102" s="5"/>
      <c r="J102" s="5"/>
      <c r="K102" s="5">
        <v>230</v>
      </c>
      <c r="L102" s="5">
        <v>19</v>
      </c>
      <c r="M102" s="5">
        <v>3</v>
      </c>
      <c r="N102" s="5" t="s">
        <v>3</v>
      </c>
      <c r="O102" s="5">
        <v>0</v>
      </c>
      <c r="P102" s="5">
        <f>ROUND(Source!ES82,O102)</f>
        <v>0</v>
      </c>
      <c r="Q102" s="5"/>
      <c r="R102" s="5"/>
      <c r="S102" s="5"/>
      <c r="T102" s="5"/>
      <c r="U102" s="5"/>
      <c r="V102" s="5"/>
      <c r="W102" s="5">
        <v>0</v>
      </c>
      <c r="X102" s="5">
        <v>1</v>
      </c>
      <c r="Y102" s="5">
        <v>0</v>
      </c>
      <c r="Z102" s="5">
        <v>0</v>
      </c>
      <c r="AA102" s="5">
        <v>1</v>
      </c>
      <c r="AB102" s="5">
        <v>0</v>
      </c>
      <c r="IF102">
        <v>-1</v>
      </c>
    </row>
    <row r="103" spans="1:240" x14ac:dyDescent="0.2">
      <c r="A103" s="5">
        <v>50</v>
      </c>
      <c r="B103" s="5">
        <v>0</v>
      </c>
      <c r="C103" s="5">
        <v>0</v>
      </c>
      <c r="D103" s="5">
        <v>1</v>
      </c>
      <c r="E103" s="5">
        <v>206</v>
      </c>
      <c r="F103" s="5">
        <f>ROUND(Source!T82,O103)</f>
        <v>0</v>
      </c>
      <c r="G103" s="5" t="s">
        <v>134</v>
      </c>
      <c r="H103" s="5" t="s">
        <v>135</v>
      </c>
      <c r="I103" s="5"/>
      <c r="J103" s="5"/>
      <c r="K103" s="5">
        <v>206</v>
      </c>
      <c r="L103" s="5">
        <v>20</v>
      </c>
      <c r="M103" s="5">
        <v>3</v>
      </c>
      <c r="N103" s="5" t="s">
        <v>3</v>
      </c>
      <c r="O103" s="5">
        <v>0</v>
      </c>
      <c r="P103" s="5">
        <f>ROUND(Source!DL82,O103)</f>
        <v>0</v>
      </c>
      <c r="Q103" s="5"/>
      <c r="R103" s="5"/>
      <c r="S103" s="5"/>
      <c r="T103" s="5"/>
      <c r="U103" s="5"/>
      <c r="V103" s="5"/>
      <c r="W103" s="5">
        <v>0</v>
      </c>
      <c r="X103" s="5">
        <v>1</v>
      </c>
      <c r="Y103" s="5">
        <v>0</v>
      </c>
      <c r="Z103" s="5">
        <v>0</v>
      </c>
      <c r="AA103" s="5">
        <v>1</v>
      </c>
      <c r="AB103" s="5">
        <v>0</v>
      </c>
      <c r="IF103">
        <v>-1</v>
      </c>
    </row>
    <row r="104" spans="1:240" x14ac:dyDescent="0.2">
      <c r="A104" s="5">
        <v>50</v>
      </c>
      <c r="B104" s="5">
        <v>0</v>
      </c>
      <c r="C104" s="5">
        <v>0</v>
      </c>
      <c r="D104" s="5">
        <v>1</v>
      </c>
      <c r="E104" s="5">
        <v>207</v>
      </c>
      <c r="F104" s="5">
        <f>Source!U82</f>
        <v>10.562478</v>
      </c>
      <c r="G104" s="5" t="s">
        <v>136</v>
      </c>
      <c r="H104" s="5" t="s">
        <v>137</v>
      </c>
      <c r="I104" s="5"/>
      <c r="J104" s="5"/>
      <c r="K104" s="5">
        <v>207</v>
      </c>
      <c r="L104" s="5">
        <v>21</v>
      </c>
      <c r="M104" s="5">
        <v>3</v>
      </c>
      <c r="N104" s="5" t="s">
        <v>3</v>
      </c>
      <c r="O104" s="5">
        <v>-1</v>
      </c>
      <c r="P104" s="5" t="e">
        <f>Source!DM82</f>
        <v>#REF!</v>
      </c>
      <c r="Q104" s="5"/>
      <c r="R104" s="5"/>
      <c r="S104" s="5"/>
      <c r="T104" s="5"/>
      <c r="U104" s="5"/>
      <c r="V104" s="5"/>
      <c r="W104" s="5">
        <v>10.562477999999999</v>
      </c>
      <c r="X104" s="5">
        <v>1</v>
      </c>
      <c r="Y104" s="5">
        <v>10.562477999999999</v>
      </c>
      <c r="Z104" s="5">
        <v>10.562477999999999</v>
      </c>
      <c r="AA104" s="5">
        <v>1</v>
      </c>
      <c r="AB104" s="5">
        <v>10.562477999999999</v>
      </c>
      <c r="IF104">
        <v>-1</v>
      </c>
    </row>
    <row r="105" spans="1:240" x14ac:dyDescent="0.2">
      <c r="A105" s="5">
        <v>50</v>
      </c>
      <c r="B105" s="5">
        <v>0</v>
      </c>
      <c r="C105" s="5">
        <v>0</v>
      </c>
      <c r="D105" s="5">
        <v>1</v>
      </c>
      <c r="E105" s="5">
        <v>208</v>
      </c>
      <c r="F105" s="5">
        <f>Source!V82</f>
        <v>2.04542</v>
      </c>
      <c r="G105" s="5" t="s">
        <v>138</v>
      </c>
      <c r="H105" s="5" t="s">
        <v>139</v>
      </c>
      <c r="I105" s="5"/>
      <c r="J105" s="5"/>
      <c r="K105" s="5">
        <v>208</v>
      </c>
      <c r="L105" s="5">
        <v>22</v>
      </c>
      <c r="M105" s="5">
        <v>3</v>
      </c>
      <c r="N105" s="5" t="s">
        <v>3</v>
      </c>
      <c r="O105" s="5">
        <v>-1</v>
      </c>
      <c r="P105" s="5">
        <f>Source!DN82</f>
        <v>2.04542</v>
      </c>
      <c r="Q105" s="5"/>
      <c r="R105" s="5"/>
      <c r="S105" s="5"/>
      <c r="T105" s="5"/>
      <c r="U105" s="5"/>
      <c r="V105" s="5"/>
      <c r="W105" s="5">
        <v>2.04542</v>
      </c>
      <c r="X105" s="5">
        <v>1</v>
      </c>
      <c r="Y105" s="5">
        <v>2.04542</v>
      </c>
      <c r="Z105" s="5">
        <v>2.04542</v>
      </c>
      <c r="AA105" s="5">
        <v>1</v>
      </c>
      <c r="AB105" s="5">
        <v>2.04542</v>
      </c>
      <c r="IF105">
        <v>-1</v>
      </c>
    </row>
    <row r="106" spans="1:240" x14ac:dyDescent="0.2">
      <c r="A106" s="5">
        <v>50</v>
      </c>
      <c r="B106" s="5">
        <v>0</v>
      </c>
      <c r="C106" s="5">
        <v>0</v>
      </c>
      <c r="D106" s="5">
        <v>1</v>
      </c>
      <c r="E106" s="5">
        <v>209</v>
      </c>
      <c r="F106" s="5">
        <f>ROUND(Source!W82,O106)</f>
        <v>18</v>
      </c>
      <c r="G106" s="5" t="s">
        <v>140</v>
      </c>
      <c r="H106" s="5" t="s">
        <v>141</v>
      </c>
      <c r="I106" s="5"/>
      <c r="J106" s="5"/>
      <c r="K106" s="5">
        <v>209</v>
      </c>
      <c r="L106" s="5">
        <v>23</v>
      </c>
      <c r="M106" s="5">
        <v>3</v>
      </c>
      <c r="N106" s="5" t="s">
        <v>3</v>
      </c>
      <c r="O106" s="5">
        <v>0</v>
      </c>
      <c r="P106" s="5">
        <f>ROUND(Source!DO82,O106)</f>
        <v>18</v>
      </c>
      <c r="Q106" s="5"/>
      <c r="R106" s="5"/>
      <c r="S106" s="5"/>
      <c r="T106" s="5"/>
      <c r="U106" s="5"/>
      <c r="V106" s="5"/>
      <c r="W106" s="5">
        <v>18</v>
      </c>
      <c r="X106" s="5">
        <v>1</v>
      </c>
      <c r="Y106" s="5">
        <v>18</v>
      </c>
      <c r="Z106" s="5">
        <v>18</v>
      </c>
      <c r="AA106" s="5">
        <v>1</v>
      </c>
      <c r="AB106" s="5">
        <v>18</v>
      </c>
      <c r="IF106">
        <v>-1</v>
      </c>
    </row>
    <row r="107" spans="1:240" x14ac:dyDescent="0.2">
      <c r="A107" s="5">
        <v>50</v>
      </c>
      <c r="B107" s="5">
        <v>0</v>
      </c>
      <c r="C107" s="5">
        <v>0</v>
      </c>
      <c r="D107" s="5">
        <v>1</v>
      </c>
      <c r="E107" s="5">
        <v>233</v>
      </c>
      <c r="F107" s="5">
        <f>ROUND(Source!BD82,O107)</f>
        <v>0</v>
      </c>
      <c r="G107" s="5" t="s">
        <v>142</v>
      </c>
      <c r="H107" s="5" t="s">
        <v>143</v>
      </c>
      <c r="I107" s="5"/>
      <c r="J107" s="5"/>
      <c r="K107" s="5">
        <v>233</v>
      </c>
      <c r="L107" s="5">
        <v>24</v>
      </c>
      <c r="M107" s="5">
        <v>3</v>
      </c>
      <c r="N107" s="5" t="s">
        <v>3</v>
      </c>
      <c r="O107" s="5">
        <v>0</v>
      </c>
      <c r="P107" s="5">
        <f>ROUND(Source!EV82,O107)</f>
        <v>0</v>
      </c>
      <c r="Q107" s="5"/>
      <c r="R107" s="5"/>
      <c r="S107" s="5"/>
      <c r="T107" s="5"/>
      <c r="U107" s="5"/>
      <c r="V107" s="5"/>
      <c r="W107" s="5">
        <v>0</v>
      </c>
      <c r="X107" s="5">
        <v>1</v>
      </c>
      <c r="Y107" s="5">
        <v>0</v>
      </c>
      <c r="Z107" s="5">
        <v>0</v>
      </c>
      <c r="AA107" s="5">
        <v>1</v>
      </c>
      <c r="AB107" s="5">
        <v>0</v>
      </c>
      <c r="IF107">
        <v>-1</v>
      </c>
    </row>
    <row r="108" spans="1:240" x14ac:dyDescent="0.2">
      <c r="A108" s="5">
        <v>50</v>
      </c>
      <c r="B108" s="5">
        <v>0</v>
      </c>
      <c r="C108" s="5">
        <v>0</v>
      </c>
      <c r="D108" s="5">
        <v>1</v>
      </c>
      <c r="E108" s="5">
        <v>210</v>
      </c>
      <c r="F108" s="5">
        <f>ROUND(Source!X82,O108)</f>
        <v>162</v>
      </c>
      <c r="G108" s="5" t="s">
        <v>144</v>
      </c>
      <c r="H108" s="5" t="s">
        <v>145</v>
      </c>
      <c r="I108" s="5"/>
      <c r="J108" s="5"/>
      <c r="K108" s="5">
        <v>210</v>
      </c>
      <c r="L108" s="5">
        <v>25</v>
      </c>
      <c r="M108" s="5">
        <v>3</v>
      </c>
      <c r="N108" s="5" t="s">
        <v>3</v>
      </c>
      <c r="O108" s="5">
        <v>0</v>
      </c>
      <c r="P108" s="5" t="e">
        <f>ROUND(Source!DP82,O108)</f>
        <v>#REF!</v>
      </c>
      <c r="Q108" s="5"/>
      <c r="R108" s="5"/>
      <c r="S108" s="5"/>
      <c r="T108" s="5"/>
      <c r="U108" s="5"/>
      <c r="V108" s="5"/>
      <c r="W108" s="5">
        <v>162</v>
      </c>
      <c r="X108" s="5">
        <v>1</v>
      </c>
      <c r="Y108" s="5">
        <v>162</v>
      </c>
      <c r="Z108" s="5">
        <v>5223</v>
      </c>
      <c r="AA108" s="5">
        <v>1</v>
      </c>
      <c r="AB108" s="5">
        <v>5223</v>
      </c>
      <c r="IF108">
        <v>-1</v>
      </c>
    </row>
    <row r="109" spans="1:240" x14ac:dyDescent="0.2">
      <c r="A109" s="5">
        <v>50</v>
      </c>
      <c r="B109" s="5">
        <v>0</v>
      </c>
      <c r="C109" s="5">
        <v>0</v>
      </c>
      <c r="D109" s="5">
        <v>1</v>
      </c>
      <c r="E109" s="5">
        <v>211</v>
      </c>
      <c r="F109" s="5">
        <f>ROUND(Source!Y82,O109)</f>
        <v>108</v>
      </c>
      <c r="G109" s="5" t="s">
        <v>146</v>
      </c>
      <c r="H109" s="5" t="s">
        <v>147</v>
      </c>
      <c r="I109" s="5"/>
      <c r="J109" s="5"/>
      <c r="K109" s="5">
        <v>211</v>
      </c>
      <c r="L109" s="5">
        <v>26</v>
      </c>
      <c r="M109" s="5">
        <v>3</v>
      </c>
      <c r="N109" s="5" t="s">
        <v>3</v>
      </c>
      <c r="O109" s="5">
        <v>0</v>
      </c>
      <c r="P109" s="5" t="e">
        <f>ROUND(Source!DQ82,O109)</f>
        <v>#REF!</v>
      </c>
      <c r="Q109" s="5"/>
      <c r="R109" s="5"/>
      <c r="S109" s="5"/>
      <c r="T109" s="5"/>
      <c r="U109" s="5"/>
      <c r="V109" s="5"/>
      <c r="W109" s="5">
        <v>108</v>
      </c>
      <c r="X109" s="5">
        <v>1</v>
      </c>
      <c r="Y109" s="5">
        <v>108</v>
      </c>
      <c r="Z109" s="5">
        <v>3133</v>
      </c>
      <c r="AA109" s="5">
        <v>1</v>
      </c>
      <c r="AB109" s="5">
        <v>3133</v>
      </c>
      <c r="IF109">
        <v>-1</v>
      </c>
    </row>
    <row r="110" spans="1:240" x14ac:dyDescent="0.2">
      <c r="A110" s="5">
        <v>50</v>
      </c>
      <c r="B110" s="5">
        <v>0</v>
      </c>
      <c r="C110" s="5">
        <v>0</v>
      </c>
      <c r="D110" s="5">
        <v>1</v>
      </c>
      <c r="E110" s="5">
        <v>224</v>
      </c>
      <c r="F110" s="5">
        <f>ROUND(Source!AR82,O110)</f>
        <v>3763</v>
      </c>
      <c r="G110" s="5" t="s">
        <v>148</v>
      </c>
      <c r="H110" s="5" t="s">
        <v>149</v>
      </c>
      <c r="I110" s="5"/>
      <c r="J110" s="5"/>
      <c r="K110" s="5">
        <v>224</v>
      </c>
      <c r="L110" s="5">
        <v>27</v>
      </c>
      <c r="M110" s="5">
        <v>3</v>
      </c>
      <c r="N110" s="5" t="s">
        <v>3</v>
      </c>
      <c r="O110" s="5">
        <v>0</v>
      </c>
      <c r="P110" s="5" t="e">
        <f>ROUND(Source!EJ82,O110)</f>
        <v>#REF!</v>
      </c>
      <c r="Q110" s="5"/>
      <c r="R110" s="5"/>
      <c r="S110" s="5"/>
      <c r="T110" s="5"/>
      <c r="U110" s="5"/>
      <c r="V110" s="5"/>
      <c r="W110" s="5">
        <v>3763</v>
      </c>
      <c r="X110" s="5">
        <v>1</v>
      </c>
      <c r="Y110" s="5">
        <v>3763</v>
      </c>
      <c r="Z110" s="5">
        <v>27354</v>
      </c>
      <c r="AA110" s="5">
        <v>1</v>
      </c>
      <c r="AB110" s="5">
        <v>27354</v>
      </c>
      <c r="IF110">
        <v>-1</v>
      </c>
    </row>
    <row r="111" spans="1:240" x14ac:dyDescent="0.2">
      <c r="IF111">
        <v>-1</v>
      </c>
    </row>
    <row r="112" spans="1:240" x14ac:dyDescent="0.2">
      <c r="IF112">
        <v>-1</v>
      </c>
    </row>
    <row r="113" spans="1:240" x14ac:dyDescent="0.2">
      <c r="A113">
        <v>70</v>
      </c>
      <c r="B113">
        <v>1</v>
      </c>
      <c r="D113">
        <v>1</v>
      </c>
      <c r="E113" t="s">
        <v>150</v>
      </c>
      <c r="F113" t="s">
        <v>151</v>
      </c>
      <c r="G113">
        <v>1</v>
      </c>
      <c r="H113">
        <v>0</v>
      </c>
      <c r="I113" t="s">
        <v>152</v>
      </c>
      <c r="J113">
        <v>0</v>
      </c>
      <c r="K113">
        <v>0</v>
      </c>
      <c r="L113" t="s">
        <v>3</v>
      </c>
      <c r="M113" t="s">
        <v>3</v>
      </c>
      <c r="N113">
        <v>0</v>
      </c>
      <c r="O113">
        <v>1</v>
      </c>
      <c r="P113" t="s">
        <v>153</v>
      </c>
      <c r="IF113">
        <v>-1</v>
      </c>
    </row>
    <row r="114" spans="1:240" x14ac:dyDescent="0.2">
      <c r="A114">
        <v>70</v>
      </c>
      <c r="B114">
        <v>1</v>
      </c>
      <c r="D114">
        <v>2</v>
      </c>
      <c r="E114" t="s">
        <v>154</v>
      </c>
      <c r="F114" t="s">
        <v>155</v>
      </c>
      <c r="G114">
        <v>0</v>
      </c>
      <c r="H114">
        <v>0</v>
      </c>
      <c r="I114" t="s">
        <v>152</v>
      </c>
      <c r="J114">
        <v>0</v>
      </c>
      <c r="K114">
        <v>0</v>
      </c>
      <c r="L114" t="s">
        <v>3</v>
      </c>
      <c r="M114" t="s">
        <v>3</v>
      </c>
      <c r="N114">
        <v>0</v>
      </c>
      <c r="O114">
        <v>0</v>
      </c>
      <c r="P114" t="s">
        <v>156</v>
      </c>
      <c r="IF114">
        <v>-1</v>
      </c>
    </row>
    <row r="115" spans="1:240" x14ac:dyDescent="0.2">
      <c r="A115">
        <v>70</v>
      </c>
      <c r="B115">
        <v>1</v>
      </c>
      <c r="D115">
        <v>3</v>
      </c>
      <c r="E115" t="s">
        <v>157</v>
      </c>
      <c r="F115" t="s">
        <v>158</v>
      </c>
      <c r="G115">
        <v>0</v>
      </c>
      <c r="H115">
        <v>0</v>
      </c>
      <c r="I115" t="s">
        <v>152</v>
      </c>
      <c r="J115">
        <v>0</v>
      </c>
      <c r="K115">
        <v>0</v>
      </c>
      <c r="L115" t="s">
        <v>3</v>
      </c>
      <c r="M115" t="s">
        <v>3</v>
      </c>
      <c r="N115">
        <v>0</v>
      </c>
      <c r="O115">
        <v>0</v>
      </c>
      <c r="P115" t="s">
        <v>159</v>
      </c>
      <c r="IF115">
        <v>-1</v>
      </c>
    </row>
    <row r="116" spans="1:240" x14ac:dyDescent="0.2">
      <c r="A116">
        <v>70</v>
      </c>
      <c r="B116">
        <v>1</v>
      </c>
      <c r="D116">
        <v>4</v>
      </c>
      <c r="E116" t="s">
        <v>160</v>
      </c>
      <c r="F116" t="s">
        <v>161</v>
      </c>
      <c r="G116">
        <v>0</v>
      </c>
      <c r="H116">
        <v>0</v>
      </c>
      <c r="I116" t="s">
        <v>152</v>
      </c>
      <c r="J116">
        <v>0</v>
      </c>
      <c r="K116">
        <v>0</v>
      </c>
      <c r="L116" t="s">
        <v>3</v>
      </c>
      <c r="M116" t="s">
        <v>3</v>
      </c>
      <c r="N116">
        <v>0</v>
      </c>
      <c r="O116">
        <v>0</v>
      </c>
      <c r="P116" t="s">
        <v>162</v>
      </c>
      <c r="IF116">
        <v>-1</v>
      </c>
    </row>
    <row r="117" spans="1:240" x14ac:dyDescent="0.2">
      <c r="A117">
        <v>70</v>
      </c>
      <c r="B117">
        <v>1</v>
      </c>
      <c r="D117">
        <v>5</v>
      </c>
      <c r="E117" t="s">
        <v>163</v>
      </c>
      <c r="F117" t="s">
        <v>164</v>
      </c>
      <c r="G117">
        <v>0</v>
      </c>
      <c r="H117">
        <v>0</v>
      </c>
      <c r="I117" t="s">
        <v>152</v>
      </c>
      <c r="J117">
        <v>0</v>
      </c>
      <c r="K117">
        <v>0</v>
      </c>
      <c r="L117" t="s">
        <v>3</v>
      </c>
      <c r="M117" t="s">
        <v>3</v>
      </c>
      <c r="N117">
        <v>0</v>
      </c>
      <c r="O117">
        <v>0</v>
      </c>
      <c r="P117" t="s">
        <v>165</v>
      </c>
      <c r="IF117">
        <v>-1</v>
      </c>
    </row>
    <row r="118" spans="1:240" x14ac:dyDescent="0.2">
      <c r="A118">
        <v>70</v>
      </c>
      <c r="B118">
        <v>1</v>
      </c>
      <c r="D118">
        <v>6</v>
      </c>
      <c r="E118" t="s">
        <v>166</v>
      </c>
      <c r="F118" t="s">
        <v>167</v>
      </c>
      <c r="G118">
        <v>0</v>
      </c>
      <c r="H118">
        <v>0</v>
      </c>
      <c r="I118" t="s">
        <v>152</v>
      </c>
      <c r="J118">
        <v>0</v>
      </c>
      <c r="K118">
        <v>0</v>
      </c>
      <c r="L118" t="s">
        <v>3</v>
      </c>
      <c r="M118" t="s">
        <v>3</v>
      </c>
      <c r="N118">
        <v>0</v>
      </c>
      <c r="O118">
        <v>0</v>
      </c>
      <c r="P118" t="s">
        <v>168</v>
      </c>
      <c r="IF118">
        <v>-1</v>
      </c>
    </row>
    <row r="119" spans="1:240" x14ac:dyDescent="0.2">
      <c r="A119">
        <v>70</v>
      </c>
      <c r="B119">
        <v>1</v>
      </c>
      <c r="D119">
        <v>7</v>
      </c>
      <c r="E119" t="s">
        <v>169</v>
      </c>
      <c r="F119" t="s">
        <v>170</v>
      </c>
      <c r="G119">
        <v>0</v>
      </c>
      <c r="H119">
        <v>0</v>
      </c>
      <c r="I119" t="s">
        <v>152</v>
      </c>
      <c r="J119">
        <v>0</v>
      </c>
      <c r="K119">
        <v>0</v>
      </c>
      <c r="L119" t="s">
        <v>3</v>
      </c>
      <c r="M119" t="s">
        <v>3</v>
      </c>
      <c r="N119">
        <v>0</v>
      </c>
      <c r="O119">
        <v>0</v>
      </c>
      <c r="P119" t="s">
        <v>171</v>
      </c>
      <c r="IF119">
        <v>-1</v>
      </c>
    </row>
    <row r="120" spans="1:240" x14ac:dyDescent="0.2">
      <c r="A120">
        <v>70</v>
      </c>
      <c r="B120">
        <v>1</v>
      </c>
      <c r="D120">
        <v>8</v>
      </c>
      <c r="E120" t="s">
        <v>172</v>
      </c>
      <c r="F120" t="s">
        <v>173</v>
      </c>
      <c r="G120">
        <v>0</v>
      </c>
      <c r="H120">
        <v>0</v>
      </c>
      <c r="I120" t="s">
        <v>152</v>
      </c>
      <c r="J120">
        <v>0</v>
      </c>
      <c r="K120">
        <v>0</v>
      </c>
      <c r="L120" t="s">
        <v>3</v>
      </c>
      <c r="M120" t="s">
        <v>3</v>
      </c>
      <c r="N120">
        <v>0</v>
      </c>
      <c r="O120">
        <v>0</v>
      </c>
      <c r="P120" t="s">
        <v>174</v>
      </c>
      <c r="IF120">
        <v>-1</v>
      </c>
    </row>
    <row r="121" spans="1:240" x14ac:dyDescent="0.2">
      <c r="A121">
        <v>70</v>
      </c>
      <c r="B121">
        <v>1</v>
      </c>
      <c r="D121">
        <v>9</v>
      </c>
      <c r="E121" t="s">
        <v>175</v>
      </c>
      <c r="F121" t="s">
        <v>176</v>
      </c>
      <c r="G121">
        <v>0</v>
      </c>
      <c r="H121">
        <v>0</v>
      </c>
      <c r="I121" t="s">
        <v>152</v>
      </c>
      <c r="J121">
        <v>0</v>
      </c>
      <c r="K121">
        <v>0</v>
      </c>
      <c r="L121" t="s">
        <v>3</v>
      </c>
      <c r="M121" t="s">
        <v>3</v>
      </c>
      <c r="N121">
        <v>0</v>
      </c>
      <c r="O121">
        <v>0</v>
      </c>
      <c r="P121" t="s">
        <v>177</v>
      </c>
      <c r="IF121">
        <v>-1</v>
      </c>
    </row>
    <row r="122" spans="1:240" x14ac:dyDescent="0.2">
      <c r="A122">
        <v>70</v>
      </c>
      <c r="B122">
        <v>1</v>
      </c>
      <c r="D122">
        <v>1</v>
      </c>
      <c r="E122" t="s">
        <v>178</v>
      </c>
      <c r="F122" t="s">
        <v>179</v>
      </c>
      <c r="G122">
        <v>1</v>
      </c>
      <c r="H122">
        <v>1</v>
      </c>
      <c r="I122" t="s">
        <v>152</v>
      </c>
      <c r="J122">
        <v>0</v>
      </c>
      <c r="K122">
        <v>0</v>
      </c>
      <c r="L122" t="s">
        <v>3</v>
      </c>
      <c r="M122" t="s">
        <v>3</v>
      </c>
      <c r="N122">
        <v>0</v>
      </c>
      <c r="O122">
        <v>1</v>
      </c>
      <c r="P122" t="s">
        <v>179</v>
      </c>
      <c r="IF122">
        <v>-1</v>
      </c>
    </row>
    <row r="123" spans="1:240" x14ac:dyDescent="0.2">
      <c r="A123">
        <v>70</v>
      </c>
      <c r="B123">
        <v>1</v>
      </c>
      <c r="D123">
        <v>2</v>
      </c>
      <c r="E123" t="s">
        <v>180</v>
      </c>
      <c r="F123" t="s">
        <v>181</v>
      </c>
      <c r="G123">
        <v>1</v>
      </c>
      <c r="H123">
        <v>1</v>
      </c>
      <c r="I123" t="s">
        <v>152</v>
      </c>
      <c r="J123">
        <v>0</v>
      </c>
      <c r="K123">
        <v>0</v>
      </c>
      <c r="L123" t="s">
        <v>3</v>
      </c>
      <c r="M123" t="s">
        <v>3</v>
      </c>
      <c r="N123">
        <v>0</v>
      </c>
      <c r="O123">
        <v>1</v>
      </c>
      <c r="P123" t="s">
        <v>181</v>
      </c>
      <c r="IF123">
        <v>-1</v>
      </c>
    </row>
    <row r="124" spans="1:240" x14ac:dyDescent="0.2">
      <c r="A124">
        <v>70</v>
      </c>
      <c r="B124">
        <v>1</v>
      </c>
      <c r="D124">
        <v>3</v>
      </c>
      <c r="E124" t="s">
        <v>182</v>
      </c>
      <c r="F124" t="s">
        <v>183</v>
      </c>
      <c r="G124">
        <v>1</v>
      </c>
      <c r="H124">
        <v>0</v>
      </c>
      <c r="I124" t="s">
        <v>152</v>
      </c>
      <c r="J124">
        <v>0</v>
      </c>
      <c r="K124">
        <v>0</v>
      </c>
      <c r="L124" t="s">
        <v>3</v>
      </c>
      <c r="M124" t="s">
        <v>3</v>
      </c>
      <c r="N124">
        <v>0</v>
      </c>
      <c r="O124">
        <v>1</v>
      </c>
      <c r="P124" t="s">
        <v>183</v>
      </c>
      <c r="IF124">
        <v>-1</v>
      </c>
    </row>
    <row r="125" spans="1:240" x14ac:dyDescent="0.2">
      <c r="A125">
        <v>70</v>
      </c>
      <c r="B125">
        <v>1</v>
      </c>
      <c r="D125">
        <v>4</v>
      </c>
      <c r="E125" t="s">
        <v>184</v>
      </c>
      <c r="F125" t="s">
        <v>185</v>
      </c>
      <c r="G125">
        <v>1</v>
      </c>
      <c r="H125">
        <v>0</v>
      </c>
      <c r="I125" t="s">
        <v>152</v>
      </c>
      <c r="J125">
        <v>0</v>
      </c>
      <c r="K125">
        <v>0</v>
      </c>
      <c r="L125" t="s">
        <v>3</v>
      </c>
      <c r="M125" t="s">
        <v>3</v>
      </c>
      <c r="N125">
        <v>0</v>
      </c>
      <c r="O125">
        <v>1</v>
      </c>
      <c r="P125" t="s">
        <v>185</v>
      </c>
      <c r="IF125">
        <v>-1</v>
      </c>
    </row>
    <row r="126" spans="1:240" x14ac:dyDescent="0.2">
      <c r="A126">
        <v>70</v>
      </c>
      <c r="B126">
        <v>1</v>
      </c>
      <c r="D126">
        <v>5</v>
      </c>
      <c r="E126" t="s">
        <v>186</v>
      </c>
      <c r="F126" t="s">
        <v>187</v>
      </c>
      <c r="G126">
        <v>1</v>
      </c>
      <c r="H126">
        <v>0</v>
      </c>
      <c r="I126" t="s">
        <v>152</v>
      </c>
      <c r="J126">
        <v>0</v>
      </c>
      <c r="K126">
        <v>0</v>
      </c>
      <c r="L126" t="s">
        <v>3</v>
      </c>
      <c r="M126" t="s">
        <v>3</v>
      </c>
      <c r="N126">
        <v>0</v>
      </c>
      <c r="O126">
        <v>0.85</v>
      </c>
      <c r="P126" t="s">
        <v>187</v>
      </c>
      <c r="IF126">
        <v>-1</v>
      </c>
    </row>
    <row r="127" spans="1:240" x14ac:dyDescent="0.2">
      <c r="A127">
        <v>70</v>
      </c>
      <c r="B127">
        <v>1</v>
      </c>
      <c r="D127">
        <v>6</v>
      </c>
      <c r="E127" t="s">
        <v>188</v>
      </c>
      <c r="F127" t="s">
        <v>189</v>
      </c>
      <c r="G127">
        <v>1</v>
      </c>
      <c r="H127">
        <v>0</v>
      </c>
      <c r="I127" t="s">
        <v>152</v>
      </c>
      <c r="J127">
        <v>0</v>
      </c>
      <c r="K127">
        <v>0</v>
      </c>
      <c r="L127" t="s">
        <v>3</v>
      </c>
      <c r="M127" t="s">
        <v>3</v>
      </c>
      <c r="N127">
        <v>0</v>
      </c>
      <c r="O127">
        <v>0.8</v>
      </c>
      <c r="P127" t="s">
        <v>189</v>
      </c>
      <c r="IF127">
        <v>-1</v>
      </c>
    </row>
    <row r="128" spans="1:240" x14ac:dyDescent="0.2">
      <c r="A128">
        <v>70</v>
      </c>
      <c r="B128">
        <v>1</v>
      </c>
      <c r="D128">
        <v>7</v>
      </c>
      <c r="E128" t="s">
        <v>190</v>
      </c>
      <c r="F128" t="s">
        <v>191</v>
      </c>
      <c r="G128">
        <v>1</v>
      </c>
      <c r="H128">
        <v>0</v>
      </c>
      <c r="I128" t="s">
        <v>152</v>
      </c>
      <c r="J128">
        <v>0</v>
      </c>
      <c r="K128">
        <v>0</v>
      </c>
      <c r="L128" t="s">
        <v>3</v>
      </c>
      <c r="M128" t="s">
        <v>3</v>
      </c>
      <c r="N128">
        <v>0</v>
      </c>
      <c r="O128">
        <v>1</v>
      </c>
      <c r="P128" t="s">
        <v>191</v>
      </c>
      <c r="IF128">
        <v>-1</v>
      </c>
    </row>
    <row r="129" spans="1:240" x14ac:dyDescent="0.2">
      <c r="A129">
        <v>70</v>
      </c>
      <c r="B129">
        <v>1</v>
      </c>
      <c r="D129">
        <v>8</v>
      </c>
      <c r="E129" t="s">
        <v>192</v>
      </c>
      <c r="F129" t="s">
        <v>193</v>
      </c>
      <c r="G129">
        <v>1</v>
      </c>
      <c r="H129">
        <v>0.8</v>
      </c>
      <c r="I129" t="s">
        <v>152</v>
      </c>
      <c r="J129">
        <v>0</v>
      </c>
      <c r="K129">
        <v>0</v>
      </c>
      <c r="L129" t="s">
        <v>3</v>
      </c>
      <c r="M129" t="s">
        <v>3</v>
      </c>
      <c r="N129">
        <v>0</v>
      </c>
      <c r="O129">
        <v>1</v>
      </c>
      <c r="P129" t="s">
        <v>193</v>
      </c>
      <c r="IF129">
        <v>-1</v>
      </c>
    </row>
    <row r="130" spans="1:240" x14ac:dyDescent="0.2">
      <c r="A130">
        <v>70</v>
      </c>
      <c r="B130">
        <v>1</v>
      </c>
      <c r="D130">
        <v>9</v>
      </c>
      <c r="E130" t="s">
        <v>194</v>
      </c>
      <c r="F130" t="s">
        <v>195</v>
      </c>
      <c r="G130">
        <v>1</v>
      </c>
      <c r="H130">
        <v>0.85</v>
      </c>
      <c r="I130" t="s">
        <v>152</v>
      </c>
      <c r="J130">
        <v>0</v>
      </c>
      <c r="K130">
        <v>0</v>
      </c>
      <c r="L130" t="s">
        <v>3</v>
      </c>
      <c r="M130" t="s">
        <v>3</v>
      </c>
      <c r="N130">
        <v>0</v>
      </c>
      <c r="O130">
        <v>1</v>
      </c>
      <c r="P130" t="s">
        <v>195</v>
      </c>
      <c r="IF130">
        <v>-1</v>
      </c>
    </row>
    <row r="131" spans="1:240" x14ac:dyDescent="0.2">
      <c r="A131">
        <v>70</v>
      </c>
      <c r="B131">
        <v>1</v>
      </c>
      <c r="D131">
        <v>10</v>
      </c>
      <c r="E131" t="s">
        <v>196</v>
      </c>
      <c r="F131" t="s">
        <v>197</v>
      </c>
      <c r="G131">
        <v>1</v>
      </c>
      <c r="H131">
        <v>0</v>
      </c>
      <c r="I131" t="s">
        <v>152</v>
      </c>
      <c r="J131">
        <v>0</v>
      </c>
      <c r="K131">
        <v>0</v>
      </c>
      <c r="L131" t="s">
        <v>3</v>
      </c>
      <c r="M131" t="s">
        <v>3</v>
      </c>
      <c r="N131">
        <v>0</v>
      </c>
      <c r="O131">
        <v>1</v>
      </c>
      <c r="P131" t="s">
        <v>197</v>
      </c>
      <c r="IF131">
        <v>-1</v>
      </c>
    </row>
    <row r="132" spans="1:240" x14ac:dyDescent="0.2">
      <c r="A132">
        <v>70</v>
      </c>
      <c r="B132">
        <v>1</v>
      </c>
      <c r="D132">
        <v>11</v>
      </c>
      <c r="E132" t="s">
        <v>198</v>
      </c>
      <c r="F132" t="s">
        <v>199</v>
      </c>
      <c r="G132">
        <v>0.7</v>
      </c>
      <c r="H132">
        <v>0</v>
      </c>
      <c r="I132" t="s">
        <v>152</v>
      </c>
      <c r="J132">
        <v>0</v>
      </c>
      <c r="K132">
        <v>0</v>
      </c>
      <c r="L132" t="s">
        <v>3</v>
      </c>
      <c r="M132" t="s">
        <v>3</v>
      </c>
      <c r="N132">
        <v>0</v>
      </c>
      <c r="O132">
        <v>0.94</v>
      </c>
      <c r="P132" t="s">
        <v>199</v>
      </c>
      <c r="IF132">
        <v>-1</v>
      </c>
    </row>
    <row r="133" spans="1:240" x14ac:dyDescent="0.2">
      <c r="A133">
        <v>70</v>
      </c>
      <c r="B133">
        <v>1</v>
      </c>
      <c r="D133">
        <v>12</v>
      </c>
      <c r="E133" t="s">
        <v>200</v>
      </c>
      <c r="F133" t="s">
        <v>201</v>
      </c>
      <c r="G133">
        <v>0.9</v>
      </c>
      <c r="H133">
        <v>0</v>
      </c>
      <c r="I133" t="s">
        <v>152</v>
      </c>
      <c r="J133">
        <v>0</v>
      </c>
      <c r="K133">
        <v>0</v>
      </c>
      <c r="L133" t="s">
        <v>3</v>
      </c>
      <c r="M133" t="s">
        <v>3</v>
      </c>
      <c r="N133">
        <v>0</v>
      </c>
      <c r="O133">
        <v>0.9</v>
      </c>
      <c r="P133" t="s">
        <v>201</v>
      </c>
      <c r="IF133">
        <v>-1</v>
      </c>
    </row>
    <row r="134" spans="1:240" x14ac:dyDescent="0.2">
      <c r="A134">
        <v>70</v>
      </c>
      <c r="B134">
        <v>1</v>
      </c>
      <c r="D134">
        <v>13</v>
      </c>
      <c r="E134" t="s">
        <v>202</v>
      </c>
      <c r="F134" t="s">
        <v>203</v>
      </c>
      <c r="G134">
        <v>0.6</v>
      </c>
      <c r="H134">
        <v>0</v>
      </c>
      <c r="I134" t="s">
        <v>152</v>
      </c>
      <c r="J134">
        <v>0</v>
      </c>
      <c r="K134">
        <v>0</v>
      </c>
      <c r="L134" t="s">
        <v>3</v>
      </c>
      <c r="M134" t="s">
        <v>3</v>
      </c>
      <c r="N134">
        <v>0</v>
      </c>
      <c r="O134">
        <v>0.6</v>
      </c>
      <c r="P134" t="s">
        <v>203</v>
      </c>
      <c r="IF134">
        <v>-1</v>
      </c>
    </row>
    <row r="135" spans="1:240" x14ac:dyDescent="0.2">
      <c r="A135">
        <v>70</v>
      </c>
      <c r="B135">
        <v>1</v>
      </c>
      <c r="D135">
        <v>14</v>
      </c>
      <c r="E135" t="s">
        <v>204</v>
      </c>
      <c r="F135" t="s">
        <v>205</v>
      </c>
      <c r="G135">
        <v>1</v>
      </c>
      <c r="H135">
        <v>0</v>
      </c>
      <c r="I135" t="s">
        <v>152</v>
      </c>
      <c r="J135">
        <v>0</v>
      </c>
      <c r="K135">
        <v>0</v>
      </c>
      <c r="L135" t="s">
        <v>3</v>
      </c>
      <c r="M135" t="s">
        <v>3</v>
      </c>
      <c r="N135">
        <v>0</v>
      </c>
      <c r="O135">
        <v>1</v>
      </c>
      <c r="P135" t="s">
        <v>205</v>
      </c>
      <c r="IF135">
        <v>-1</v>
      </c>
    </row>
    <row r="136" spans="1:240" x14ac:dyDescent="0.2">
      <c r="A136">
        <v>70</v>
      </c>
      <c r="B136">
        <v>1</v>
      </c>
      <c r="D136">
        <v>15</v>
      </c>
      <c r="E136" t="s">
        <v>206</v>
      </c>
      <c r="F136" t="s">
        <v>207</v>
      </c>
      <c r="G136">
        <v>1.2</v>
      </c>
      <c r="H136">
        <v>0</v>
      </c>
      <c r="I136" t="s">
        <v>152</v>
      </c>
      <c r="J136">
        <v>0</v>
      </c>
      <c r="K136">
        <v>0</v>
      </c>
      <c r="L136" t="s">
        <v>3</v>
      </c>
      <c r="M136" t="s">
        <v>3</v>
      </c>
      <c r="N136">
        <v>0</v>
      </c>
      <c r="O136">
        <v>1.2</v>
      </c>
      <c r="P136" t="s">
        <v>207</v>
      </c>
      <c r="IF136">
        <v>-1</v>
      </c>
    </row>
    <row r="137" spans="1:240" x14ac:dyDescent="0.2">
      <c r="A137">
        <v>70</v>
      </c>
      <c r="B137">
        <v>1</v>
      </c>
      <c r="D137">
        <v>16</v>
      </c>
      <c r="E137" t="s">
        <v>208</v>
      </c>
      <c r="F137" t="s">
        <v>209</v>
      </c>
      <c r="G137">
        <v>1</v>
      </c>
      <c r="H137">
        <v>0</v>
      </c>
      <c r="I137" t="s">
        <v>152</v>
      </c>
      <c r="J137">
        <v>0</v>
      </c>
      <c r="K137">
        <v>0</v>
      </c>
      <c r="L137" t="s">
        <v>3</v>
      </c>
      <c r="M137" t="s">
        <v>3</v>
      </c>
      <c r="N137">
        <v>0</v>
      </c>
      <c r="O137">
        <v>1</v>
      </c>
      <c r="P137" t="s">
        <v>209</v>
      </c>
      <c r="IF137">
        <v>-1</v>
      </c>
    </row>
    <row r="138" spans="1:240" x14ac:dyDescent="0.2">
      <c r="A138">
        <v>70</v>
      </c>
      <c r="B138">
        <v>1</v>
      </c>
      <c r="D138">
        <v>17</v>
      </c>
      <c r="E138" t="s">
        <v>210</v>
      </c>
      <c r="F138" t="s">
        <v>211</v>
      </c>
      <c r="G138">
        <v>1</v>
      </c>
      <c r="H138">
        <v>0</v>
      </c>
      <c r="I138" t="s">
        <v>152</v>
      </c>
      <c r="J138">
        <v>0</v>
      </c>
      <c r="K138">
        <v>0</v>
      </c>
      <c r="L138" t="s">
        <v>3</v>
      </c>
      <c r="M138" t="s">
        <v>3</v>
      </c>
      <c r="N138">
        <v>0</v>
      </c>
      <c r="O138">
        <v>1</v>
      </c>
      <c r="P138" t="s">
        <v>211</v>
      </c>
      <c r="IF138">
        <v>-1</v>
      </c>
    </row>
    <row r="139" spans="1:240" x14ac:dyDescent="0.2">
      <c r="A139">
        <v>70</v>
      </c>
      <c r="B139">
        <v>1</v>
      </c>
      <c r="D139">
        <v>18</v>
      </c>
      <c r="E139" t="s">
        <v>212</v>
      </c>
      <c r="F139" t="s">
        <v>213</v>
      </c>
      <c r="G139">
        <v>1</v>
      </c>
      <c r="H139">
        <v>0</v>
      </c>
      <c r="I139" t="s">
        <v>152</v>
      </c>
      <c r="J139">
        <v>0</v>
      </c>
      <c r="K139">
        <v>0</v>
      </c>
      <c r="L139" t="s">
        <v>3</v>
      </c>
      <c r="M139" t="s">
        <v>3</v>
      </c>
      <c r="N139">
        <v>0</v>
      </c>
      <c r="O139">
        <v>1</v>
      </c>
      <c r="P139" t="s">
        <v>213</v>
      </c>
      <c r="IF139">
        <v>-1</v>
      </c>
    </row>
    <row r="140" spans="1:240" x14ac:dyDescent="0.2">
      <c r="A140">
        <v>70</v>
      </c>
      <c r="B140">
        <v>1</v>
      </c>
      <c r="D140">
        <v>19</v>
      </c>
      <c r="E140" t="s">
        <v>214</v>
      </c>
      <c r="F140" t="s">
        <v>211</v>
      </c>
      <c r="G140">
        <v>1</v>
      </c>
      <c r="H140">
        <v>0</v>
      </c>
      <c r="I140" t="s">
        <v>152</v>
      </c>
      <c r="J140">
        <v>0</v>
      </c>
      <c r="K140">
        <v>0</v>
      </c>
      <c r="L140" t="s">
        <v>3</v>
      </c>
      <c r="M140" t="s">
        <v>3</v>
      </c>
      <c r="N140">
        <v>0</v>
      </c>
      <c r="O140">
        <v>1</v>
      </c>
      <c r="P140" t="s">
        <v>211</v>
      </c>
      <c r="IF140">
        <v>-1</v>
      </c>
    </row>
    <row r="141" spans="1:240" x14ac:dyDescent="0.2">
      <c r="A141">
        <v>70</v>
      </c>
      <c r="B141">
        <v>1</v>
      </c>
      <c r="D141">
        <v>20</v>
      </c>
      <c r="E141" t="s">
        <v>215</v>
      </c>
      <c r="F141" t="s">
        <v>213</v>
      </c>
      <c r="G141">
        <v>1</v>
      </c>
      <c r="H141">
        <v>0</v>
      </c>
      <c r="I141" t="s">
        <v>152</v>
      </c>
      <c r="J141">
        <v>0</v>
      </c>
      <c r="K141">
        <v>0</v>
      </c>
      <c r="L141" t="s">
        <v>3</v>
      </c>
      <c r="M141" t="s">
        <v>3</v>
      </c>
      <c r="N141">
        <v>0</v>
      </c>
      <c r="O141">
        <v>1</v>
      </c>
      <c r="P141" t="s">
        <v>213</v>
      </c>
      <c r="IF141">
        <v>-1</v>
      </c>
    </row>
    <row r="142" spans="1:240" x14ac:dyDescent="0.2">
      <c r="A142">
        <v>70</v>
      </c>
      <c r="B142">
        <v>1</v>
      </c>
      <c r="D142">
        <v>21</v>
      </c>
      <c r="E142" t="s">
        <v>216</v>
      </c>
      <c r="F142" t="s">
        <v>217</v>
      </c>
      <c r="G142">
        <v>0</v>
      </c>
      <c r="H142">
        <v>0</v>
      </c>
      <c r="I142" t="s">
        <v>152</v>
      </c>
      <c r="J142">
        <v>0</v>
      </c>
      <c r="K142">
        <v>0</v>
      </c>
      <c r="L142" t="s">
        <v>3</v>
      </c>
      <c r="M142" t="s">
        <v>3</v>
      </c>
      <c r="N142">
        <v>0</v>
      </c>
      <c r="O142">
        <v>0</v>
      </c>
      <c r="P142" t="s">
        <v>217</v>
      </c>
      <c r="IF142">
        <v>-1</v>
      </c>
    </row>
    <row r="143" spans="1:240" x14ac:dyDescent="0.2">
      <c r="IF143">
        <v>-1</v>
      </c>
    </row>
    <row r="144" spans="1:240" x14ac:dyDescent="0.2">
      <c r="A144">
        <v>-1</v>
      </c>
      <c r="IF144">
        <v>-1</v>
      </c>
    </row>
    <row r="145" spans="1:240" x14ac:dyDescent="0.2">
      <c r="IF145">
        <v>-1</v>
      </c>
    </row>
    <row r="146" spans="1:240" x14ac:dyDescent="0.2">
      <c r="A146" s="4">
        <v>75</v>
      </c>
      <c r="B146" s="4" t="s">
        <v>218</v>
      </c>
      <c r="C146" s="4">
        <v>2000</v>
      </c>
      <c r="D146" s="4">
        <v>0</v>
      </c>
      <c r="E146" s="4">
        <v>1</v>
      </c>
      <c r="F146" s="4"/>
      <c r="G146" s="4">
        <v>0</v>
      </c>
      <c r="H146" s="4">
        <v>1</v>
      </c>
      <c r="I146" s="4">
        <v>0</v>
      </c>
      <c r="J146" s="4">
        <v>4</v>
      </c>
      <c r="K146" s="4">
        <v>0</v>
      </c>
      <c r="L146" s="4">
        <v>0</v>
      </c>
      <c r="M146" s="4">
        <v>0</v>
      </c>
      <c r="N146" s="4">
        <v>71570243</v>
      </c>
      <c r="O146" s="4">
        <v>1</v>
      </c>
      <c r="IF146">
        <v>-1</v>
      </c>
    </row>
    <row r="147" spans="1:240" x14ac:dyDescent="0.2">
      <c r="A147" s="4">
        <v>75</v>
      </c>
      <c r="B147" s="4" t="s">
        <v>219</v>
      </c>
      <c r="C147" s="4">
        <v>2025</v>
      </c>
      <c r="D147" s="4">
        <v>0</v>
      </c>
      <c r="E147" s="4">
        <v>3</v>
      </c>
      <c r="F147" s="4"/>
      <c r="G147" s="4">
        <v>0</v>
      </c>
      <c r="H147" s="4">
        <v>2</v>
      </c>
      <c r="I147" s="4">
        <v>0</v>
      </c>
      <c r="J147" s="4">
        <v>3</v>
      </c>
      <c r="K147" s="4">
        <v>0</v>
      </c>
      <c r="L147" s="4">
        <v>0</v>
      </c>
      <c r="M147" s="4">
        <v>1</v>
      </c>
      <c r="N147" s="4">
        <v>71570244</v>
      </c>
      <c r="O147" s="4">
        <v>2</v>
      </c>
      <c r="IF147">
        <v>-1</v>
      </c>
    </row>
    <row r="148" spans="1:240" x14ac:dyDescent="0.2">
      <c r="A148" s="6">
        <v>1</v>
      </c>
      <c r="B148" s="6" t="s">
        <v>220</v>
      </c>
      <c r="C148" s="6" t="s">
        <v>221</v>
      </c>
      <c r="D148" s="6">
        <v>2024</v>
      </c>
      <c r="E148" s="6">
        <v>3</v>
      </c>
      <c r="F148" s="6">
        <v>1</v>
      </c>
      <c r="G148" s="6">
        <v>1</v>
      </c>
      <c r="H148" s="6">
        <v>0</v>
      </c>
      <c r="I148" s="6">
        <v>2</v>
      </c>
      <c r="J148" s="6">
        <v>1</v>
      </c>
      <c r="K148" s="6">
        <v>7.56</v>
      </c>
      <c r="L148" s="6">
        <v>4.83</v>
      </c>
      <c r="M148" s="6">
        <v>1</v>
      </c>
      <c r="N148" s="6">
        <v>1</v>
      </c>
      <c r="O148" s="6">
        <v>7.56</v>
      </c>
      <c r="P148" s="6">
        <v>4.83</v>
      </c>
      <c r="Q148" s="6">
        <v>1</v>
      </c>
      <c r="R148" s="6" t="s">
        <v>3</v>
      </c>
      <c r="S148" s="6" t="s">
        <v>3</v>
      </c>
      <c r="T148" s="6" t="s">
        <v>3</v>
      </c>
      <c r="U148" s="6" t="s">
        <v>3</v>
      </c>
      <c r="V148" s="6" t="s">
        <v>3</v>
      </c>
      <c r="W148" s="6" t="s">
        <v>3</v>
      </c>
      <c r="X148" s="6" t="s">
        <v>3</v>
      </c>
      <c r="Y148" s="6" t="s">
        <v>3</v>
      </c>
      <c r="Z148" s="6" t="s">
        <v>3</v>
      </c>
      <c r="AA148" s="6" t="s">
        <v>3</v>
      </c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>
        <v>71570245</v>
      </c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IF148">
        <v>-1</v>
      </c>
    </row>
    <row r="149" spans="1:240" x14ac:dyDescent="0.2">
      <c r="IF149">
        <v>-1</v>
      </c>
    </row>
    <row r="150" spans="1:240" x14ac:dyDescent="0.2">
      <c r="IF150">
        <v>-1</v>
      </c>
    </row>
    <row r="151" spans="1:240" x14ac:dyDescent="0.2">
      <c r="IF151">
        <v>-1</v>
      </c>
    </row>
    <row r="152" spans="1:240" x14ac:dyDescent="0.2">
      <c r="A152">
        <v>65</v>
      </c>
      <c r="C152">
        <v>1</v>
      </c>
      <c r="D152">
        <v>0</v>
      </c>
      <c r="E152">
        <v>245</v>
      </c>
      <c r="IF152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222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12827</v>
      </c>
      <c r="M1">
        <v>66420865</v>
      </c>
      <c r="N1">
        <v>11</v>
      </c>
      <c r="O1">
        <v>11</v>
      </c>
      <c r="P1">
        <v>0</v>
      </c>
      <c r="Q1">
        <v>3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9" spans="1:133" x14ac:dyDescent="0.2">
      <c r="A9" s="1">
        <v>1</v>
      </c>
      <c r="B9" s="1">
        <v>1</v>
      </c>
      <c r="C9" s="1">
        <v>-1</v>
      </c>
      <c r="D9" s="1"/>
      <c r="E9" s="1"/>
      <c r="F9" s="1" t="s">
        <v>5</v>
      </c>
      <c r="G9" s="1" t="s">
        <v>6</v>
      </c>
      <c r="H9" s="1" t="s">
        <v>3</v>
      </c>
      <c r="I9" s="1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  <c r="O9" s="1" t="s">
        <v>3</v>
      </c>
      <c r="P9" s="1">
        <v>0</v>
      </c>
      <c r="Q9" s="1" t="s">
        <v>3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>
        <v>0</v>
      </c>
      <c r="BH9" t="s">
        <v>3</v>
      </c>
      <c r="BI9" t="s">
        <v>3</v>
      </c>
      <c r="BJ9" t="s">
        <v>3</v>
      </c>
      <c r="BK9" t="s">
        <v>3</v>
      </c>
      <c r="BL9" t="s">
        <v>3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7</v>
      </c>
      <c r="G12" s="1" t="s">
        <v>4</v>
      </c>
      <c r="H12" s="1" t="s">
        <v>3</v>
      </c>
      <c r="I12" s="1">
        <v>0</v>
      </c>
      <c r="J12" s="1" t="s">
        <v>8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9</v>
      </c>
      <c r="AC12" s="1" t="s">
        <v>10</v>
      </c>
      <c r="AD12" s="1" t="s">
        <v>11</v>
      </c>
      <c r="AE12" s="1" t="s">
        <v>12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13</v>
      </c>
      <c r="BI12" s="1" t="s">
        <v>14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3</v>
      </c>
      <c r="BZ12" s="1" t="s">
        <v>15</v>
      </c>
      <c r="CA12" s="1" t="s">
        <v>3</v>
      </c>
      <c r="CB12" s="1" t="s">
        <v>16</v>
      </c>
      <c r="CC12" s="1" t="s">
        <v>16</v>
      </c>
      <c r="CD12" s="1" t="s">
        <v>17</v>
      </c>
      <c r="CE12" s="1" t="s">
        <v>18</v>
      </c>
      <c r="CF12" s="1">
        <v>0</v>
      </c>
      <c r="CG12" s="1">
        <v>0</v>
      </c>
      <c r="CH12" s="1">
        <v>86549003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71570243</v>
      </c>
      <c r="E14" s="1">
        <v>71570244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0</v>
      </c>
      <c r="C16" s="7" t="s">
        <v>19</v>
      </c>
      <c r="D16" s="7" t="s">
        <v>20</v>
      </c>
      <c r="E16" s="8">
        <f>ROUND((Source!F69)/1000,2)</f>
        <v>3.76</v>
      </c>
      <c r="F16" s="8">
        <f>ROUND((Source!F70)/1000,2)</f>
        <v>0</v>
      </c>
      <c r="G16" s="8">
        <f>ROUND((Source!F61)/1000,2)</f>
        <v>0</v>
      </c>
      <c r="H16" s="8">
        <f>ROUND((Source!F71)/1000+(Source!F72)/1000,2)</f>
        <v>0</v>
      </c>
      <c r="I16" s="8">
        <f>E16+F16+G16+H16</f>
        <v>3.76</v>
      </c>
      <c r="J16" s="8">
        <f>ROUND((Source!F67+Source!F66)/1000,2)</f>
        <v>0.11</v>
      </c>
      <c r="T16" s="9" t="e">
        <f>ROUND((Source!P69)/1000,2)</f>
        <v>#REF!</v>
      </c>
      <c r="U16" s="9">
        <f>ROUND((Source!P70)/1000,2)</f>
        <v>0</v>
      </c>
      <c r="V16" s="9">
        <f>ROUND((Source!P61)/1000,2)</f>
        <v>0</v>
      </c>
      <c r="W16" s="9">
        <f>ROUND((Source!P71)/1000+(Source!P72)/1000,2)</f>
        <v>0</v>
      </c>
      <c r="X16" s="9" t="e">
        <f>T16+U16+V16+W16</f>
        <v>#REF!</v>
      </c>
      <c r="Y16" s="9">
        <f>ROUND((Source!P67+Source!P66)/1000,2)</f>
        <v>3.87</v>
      </c>
      <c r="AI16" s="7">
        <v>0</v>
      </c>
      <c r="AJ16" s="7">
        <v>-1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3493</v>
      </c>
      <c r="AU16" s="8">
        <v>3207</v>
      </c>
      <c r="AV16" s="8">
        <v>0</v>
      </c>
      <c r="AW16" s="8">
        <v>0</v>
      </c>
      <c r="AX16" s="8">
        <v>0</v>
      </c>
      <c r="AY16" s="8">
        <v>198</v>
      </c>
      <c r="AZ16" s="8">
        <v>26</v>
      </c>
      <c r="BA16" s="8">
        <v>88</v>
      </c>
      <c r="BB16" s="8">
        <v>3763</v>
      </c>
      <c r="BC16" s="8">
        <v>0</v>
      </c>
      <c r="BD16" s="8">
        <v>0</v>
      </c>
      <c r="BE16" s="8">
        <v>0</v>
      </c>
      <c r="BF16" s="8">
        <v>10.562477999999999</v>
      </c>
      <c r="BG16" s="8">
        <v>2.04542</v>
      </c>
      <c r="BH16" s="8">
        <v>18</v>
      </c>
      <c r="BI16" s="8">
        <v>162</v>
      </c>
      <c r="BJ16" s="8">
        <v>108</v>
      </c>
      <c r="BK16" s="8">
        <v>3763</v>
      </c>
      <c r="BR16" s="9">
        <v>18998</v>
      </c>
      <c r="BS16" s="9">
        <v>13801</v>
      </c>
      <c r="BT16" s="9">
        <v>0</v>
      </c>
      <c r="BU16" s="9">
        <v>0</v>
      </c>
      <c r="BV16" s="9">
        <v>0</v>
      </c>
      <c r="BW16" s="9">
        <v>1845</v>
      </c>
      <c r="BX16" s="9">
        <v>516</v>
      </c>
      <c r="BY16" s="9">
        <v>3352</v>
      </c>
      <c r="BZ16" s="9">
        <v>27354</v>
      </c>
      <c r="CA16" s="9">
        <v>0</v>
      </c>
      <c r="CB16" s="9">
        <v>0</v>
      </c>
      <c r="CC16" s="9">
        <v>0</v>
      </c>
      <c r="CD16" s="9">
        <v>10.562477999999999</v>
      </c>
      <c r="CE16" s="9">
        <v>2.04542</v>
      </c>
      <c r="CF16" s="9">
        <v>18</v>
      </c>
      <c r="CG16" s="9">
        <v>5223</v>
      </c>
      <c r="CH16" s="9">
        <v>3133</v>
      </c>
      <c r="CI16" s="9">
        <v>27354</v>
      </c>
    </row>
    <row r="18" spans="1:40" x14ac:dyDescent="0.2">
      <c r="A18">
        <v>51</v>
      </c>
      <c r="E18" s="10">
        <f>SUMIF(A16:A17,3,E16:E17)</f>
        <v>3.76</v>
      </c>
      <c r="F18" s="10">
        <f>SUMIF(A16:A17,3,F16:F17)</f>
        <v>0</v>
      </c>
      <c r="G18" s="10">
        <f>SUMIF(A16:A17,3,G16:G17)</f>
        <v>0</v>
      </c>
      <c r="H18" s="10">
        <f>SUMIF(A16:A17,3,H16:H17)</f>
        <v>0</v>
      </c>
      <c r="I18" s="10">
        <f>SUMIF(A16:A17,3,I16:I17)</f>
        <v>3.76</v>
      </c>
      <c r="J18" s="10">
        <f>SUMIF(A16:A17,3,J16:J17)</f>
        <v>0.11</v>
      </c>
      <c r="K18" s="10"/>
      <c r="L18" s="10"/>
      <c r="M18" s="10"/>
      <c r="N18" s="10"/>
      <c r="O18" s="10"/>
      <c r="P18" s="10"/>
      <c r="Q18" s="10"/>
      <c r="R18" s="10"/>
      <c r="S18" s="10"/>
      <c r="T18" s="3" t="e">
        <f>SUMIF(A16:A17,3,T16:T17)</f>
        <v>#REF!</v>
      </c>
      <c r="U18" s="3">
        <f>SUMIF(A16:A17,3,U16:U17)</f>
        <v>0</v>
      </c>
      <c r="V18" s="3">
        <f>SUMIF(A16:A17,3,V16:V17)</f>
        <v>0</v>
      </c>
      <c r="W18" s="3">
        <f>SUMIF(A16:A17,3,W16:W17)</f>
        <v>0</v>
      </c>
      <c r="X18" s="3" t="e">
        <f>SUMIF(A16:A17,3,X16:X17)</f>
        <v>#REF!</v>
      </c>
      <c r="Y18" s="3">
        <f>SUMIF(A16:A17,3,Y16:Y17)</f>
        <v>3.87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3493</v>
      </c>
      <c r="G20" s="5" t="s">
        <v>96</v>
      </c>
      <c r="H20" s="5" t="s">
        <v>97</v>
      </c>
      <c r="I20" s="5"/>
      <c r="J20" s="5"/>
      <c r="K20" s="5">
        <v>201</v>
      </c>
      <c r="L20" s="5">
        <v>1</v>
      </c>
      <c r="M20" s="5">
        <v>3</v>
      </c>
      <c r="N20" s="5" t="s">
        <v>3</v>
      </c>
      <c r="O20" s="5">
        <v>0</v>
      </c>
      <c r="P20" s="5">
        <v>18998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3207</v>
      </c>
      <c r="G21" s="5" t="s">
        <v>98</v>
      </c>
      <c r="H21" s="5" t="s">
        <v>99</v>
      </c>
      <c r="I21" s="5"/>
      <c r="J21" s="5"/>
      <c r="K21" s="5">
        <v>202</v>
      </c>
      <c r="L21" s="5">
        <v>2</v>
      </c>
      <c r="M21" s="5">
        <v>3</v>
      </c>
      <c r="N21" s="5" t="s">
        <v>3</v>
      </c>
      <c r="O21" s="5">
        <v>0</v>
      </c>
      <c r="P21" s="5">
        <v>13801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100</v>
      </c>
      <c r="H22" s="5" t="s">
        <v>101</v>
      </c>
      <c r="I22" s="5"/>
      <c r="J22" s="5"/>
      <c r="K22" s="5">
        <v>222</v>
      </c>
      <c r="L22" s="5">
        <v>3</v>
      </c>
      <c r="M22" s="5">
        <v>3</v>
      </c>
      <c r="N22" s="5" t="s">
        <v>3</v>
      </c>
      <c r="O22" s="5">
        <v>0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3207</v>
      </c>
      <c r="G23" s="5" t="s">
        <v>102</v>
      </c>
      <c r="H23" s="5" t="s">
        <v>103</v>
      </c>
      <c r="I23" s="5"/>
      <c r="J23" s="5"/>
      <c r="K23" s="5">
        <v>225</v>
      </c>
      <c r="L23" s="5">
        <v>4</v>
      </c>
      <c r="M23" s="5">
        <v>3</v>
      </c>
      <c r="N23" s="5" t="s">
        <v>3</v>
      </c>
      <c r="O23" s="5">
        <v>0</v>
      </c>
      <c r="P23" s="5">
        <v>13801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3207</v>
      </c>
      <c r="G24" s="5" t="s">
        <v>104</v>
      </c>
      <c r="H24" s="5" t="s">
        <v>105</v>
      </c>
      <c r="I24" s="5"/>
      <c r="J24" s="5"/>
      <c r="K24" s="5">
        <v>226</v>
      </c>
      <c r="L24" s="5">
        <v>5</v>
      </c>
      <c r="M24" s="5">
        <v>3</v>
      </c>
      <c r="N24" s="5" t="s">
        <v>3</v>
      </c>
      <c r="O24" s="5">
        <v>0</v>
      </c>
      <c r="P24" s="5">
        <v>13801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106</v>
      </c>
      <c r="H25" s="5" t="s">
        <v>107</v>
      </c>
      <c r="I25" s="5"/>
      <c r="J25" s="5"/>
      <c r="K25" s="5">
        <v>227</v>
      </c>
      <c r="L25" s="5">
        <v>6</v>
      </c>
      <c r="M25" s="5">
        <v>3</v>
      </c>
      <c r="N25" s="5" t="s">
        <v>3</v>
      </c>
      <c r="O25" s="5">
        <v>0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3207</v>
      </c>
      <c r="G26" s="5" t="s">
        <v>108</v>
      </c>
      <c r="H26" s="5" t="s">
        <v>109</v>
      </c>
      <c r="I26" s="5"/>
      <c r="J26" s="5"/>
      <c r="K26" s="5">
        <v>228</v>
      </c>
      <c r="L26" s="5">
        <v>7</v>
      </c>
      <c r="M26" s="5">
        <v>3</v>
      </c>
      <c r="N26" s="5" t="s">
        <v>3</v>
      </c>
      <c r="O26" s="5">
        <v>0</v>
      </c>
      <c r="P26" s="5">
        <v>13801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110</v>
      </c>
      <c r="H27" s="5" t="s">
        <v>111</v>
      </c>
      <c r="I27" s="5"/>
      <c r="J27" s="5"/>
      <c r="K27" s="5">
        <v>216</v>
      </c>
      <c r="L27" s="5">
        <v>8</v>
      </c>
      <c r="M27" s="5">
        <v>3</v>
      </c>
      <c r="N27" s="5" t="s">
        <v>3</v>
      </c>
      <c r="O27" s="5">
        <v>0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112</v>
      </c>
      <c r="H28" s="5" t="s">
        <v>113</v>
      </c>
      <c r="I28" s="5"/>
      <c r="J28" s="5"/>
      <c r="K28" s="5">
        <v>223</v>
      </c>
      <c r="L28" s="5">
        <v>9</v>
      </c>
      <c r="M28" s="5">
        <v>3</v>
      </c>
      <c r="N28" s="5" t="s">
        <v>3</v>
      </c>
      <c r="O28" s="5">
        <v>0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114</v>
      </c>
      <c r="H29" s="5" t="s">
        <v>115</v>
      </c>
      <c r="I29" s="5"/>
      <c r="J29" s="5"/>
      <c r="K29" s="5">
        <v>229</v>
      </c>
      <c r="L29" s="5">
        <v>10</v>
      </c>
      <c r="M29" s="5">
        <v>3</v>
      </c>
      <c r="N29" s="5" t="s">
        <v>3</v>
      </c>
      <c r="O29" s="5">
        <v>0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198</v>
      </c>
      <c r="G30" s="5" t="s">
        <v>116</v>
      </c>
      <c r="H30" s="5" t="s">
        <v>117</v>
      </c>
      <c r="I30" s="5"/>
      <c r="J30" s="5"/>
      <c r="K30" s="5">
        <v>203</v>
      </c>
      <c r="L30" s="5">
        <v>11</v>
      </c>
      <c r="M30" s="5">
        <v>3</v>
      </c>
      <c r="N30" s="5" t="s">
        <v>3</v>
      </c>
      <c r="O30" s="5">
        <v>0</v>
      </c>
      <c r="P30" s="5">
        <v>1845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118</v>
      </c>
      <c r="H31" s="5" t="s">
        <v>119</v>
      </c>
      <c r="I31" s="5"/>
      <c r="J31" s="5"/>
      <c r="K31" s="5">
        <v>231</v>
      </c>
      <c r="L31" s="5">
        <v>12</v>
      </c>
      <c r="M31" s="5">
        <v>3</v>
      </c>
      <c r="N31" s="5" t="s">
        <v>3</v>
      </c>
      <c r="O31" s="5">
        <v>0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26</v>
      </c>
      <c r="G32" s="5" t="s">
        <v>120</v>
      </c>
      <c r="H32" s="5" t="s">
        <v>121</v>
      </c>
      <c r="I32" s="5"/>
      <c r="J32" s="5"/>
      <c r="K32" s="5">
        <v>204</v>
      </c>
      <c r="L32" s="5">
        <v>13</v>
      </c>
      <c r="M32" s="5">
        <v>3</v>
      </c>
      <c r="N32" s="5" t="s">
        <v>3</v>
      </c>
      <c r="O32" s="5">
        <v>0</v>
      </c>
      <c r="P32" s="5">
        <v>516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88</v>
      </c>
      <c r="G33" s="5" t="s">
        <v>122</v>
      </c>
      <c r="H33" s="5" t="s">
        <v>123</v>
      </c>
      <c r="I33" s="5"/>
      <c r="J33" s="5"/>
      <c r="K33" s="5">
        <v>205</v>
      </c>
      <c r="L33" s="5">
        <v>14</v>
      </c>
      <c r="M33" s="5">
        <v>3</v>
      </c>
      <c r="N33" s="5" t="s">
        <v>3</v>
      </c>
      <c r="O33" s="5">
        <v>0</v>
      </c>
      <c r="P33" s="5">
        <v>3352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124</v>
      </c>
      <c r="H34" s="5" t="s">
        <v>125</v>
      </c>
      <c r="I34" s="5"/>
      <c r="J34" s="5"/>
      <c r="K34" s="5">
        <v>232</v>
      </c>
      <c r="L34" s="5">
        <v>15</v>
      </c>
      <c r="M34" s="5">
        <v>3</v>
      </c>
      <c r="N34" s="5" t="s">
        <v>3</v>
      </c>
      <c r="O34" s="5">
        <v>0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3763</v>
      </c>
      <c r="G35" s="5" t="s">
        <v>126</v>
      </c>
      <c r="H35" s="5" t="s">
        <v>127</v>
      </c>
      <c r="I35" s="5"/>
      <c r="J35" s="5"/>
      <c r="K35" s="5">
        <v>214</v>
      </c>
      <c r="L35" s="5">
        <v>16</v>
      </c>
      <c r="M35" s="5">
        <v>3</v>
      </c>
      <c r="N35" s="5" t="s">
        <v>3</v>
      </c>
      <c r="O35" s="5">
        <v>0</v>
      </c>
      <c r="P35" s="5">
        <v>27354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128</v>
      </c>
      <c r="H36" s="5" t="s">
        <v>129</v>
      </c>
      <c r="I36" s="5"/>
      <c r="J36" s="5"/>
      <c r="K36" s="5">
        <v>215</v>
      </c>
      <c r="L36" s="5">
        <v>17</v>
      </c>
      <c r="M36" s="5">
        <v>3</v>
      </c>
      <c r="N36" s="5" t="s">
        <v>3</v>
      </c>
      <c r="O36" s="5">
        <v>0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130</v>
      </c>
      <c r="H37" s="5" t="s">
        <v>131</v>
      </c>
      <c r="I37" s="5"/>
      <c r="J37" s="5"/>
      <c r="K37" s="5">
        <v>217</v>
      </c>
      <c r="L37" s="5">
        <v>18</v>
      </c>
      <c r="M37" s="5">
        <v>3</v>
      </c>
      <c r="N37" s="5" t="s">
        <v>3</v>
      </c>
      <c r="O37" s="5">
        <v>0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132</v>
      </c>
      <c r="H38" s="5" t="s">
        <v>133</v>
      </c>
      <c r="I38" s="5"/>
      <c r="J38" s="5"/>
      <c r="K38" s="5">
        <v>230</v>
      </c>
      <c r="L38" s="5">
        <v>19</v>
      </c>
      <c r="M38" s="5">
        <v>3</v>
      </c>
      <c r="N38" s="5" t="s">
        <v>3</v>
      </c>
      <c r="O38" s="5">
        <v>0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134</v>
      </c>
      <c r="H39" s="5" t="s">
        <v>135</v>
      </c>
      <c r="I39" s="5"/>
      <c r="J39" s="5"/>
      <c r="K39" s="5">
        <v>206</v>
      </c>
      <c r="L39" s="5">
        <v>20</v>
      </c>
      <c r="M39" s="5">
        <v>3</v>
      </c>
      <c r="N39" s="5" t="s">
        <v>3</v>
      </c>
      <c r="O39" s="5">
        <v>0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10.562477999999999</v>
      </c>
      <c r="G40" s="5" t="s">
        <v>136</v>
      </c>
      <c r="H40" s="5" t="s">
        <v>137</v>
      </c>
      <c r="I40" s="5"/>
      <c r="J40" s="5"/>
      <c r="K40" s="5">
        <v>207</v>
      </c>
      <c r="L40" s="5">
        <v>21</v>
      </c>
      <c r="M40" s="5">
        <v>3</v>
      </c>
      <c r="N40" s="5" t="s">
        <v>3</v>
      </c>
      <c r="O40" s="5">
        <v>-1</v>
      </c>
      <c r="P40" s="5">
        <v>10.562477999999999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2.04542</v>
      </c>
      <c r="G41" s="5" t="s">
        <v>138</v>
      </c>
      <c r="H41" s="5" t="s">
        <v>139</v>
      </c>
      <c r="I41" s="5"/>
      <c r="J41" s="5"/>
      <c r="K41" s="5">
        <v>208</v>
      </c>
      <c r="L41" s="5">
        <v>22</v>
      </c>
      <c r="M41" s="5">
        <v>3</v>
      </c>
      <c r="N41" s="5" t="s">
        <v>3</v>
      </c>
      <c r="O41" s="5">
        <v>-1</v>
      </c>
      <c r="P41" s="5">
        <v>2.04542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18</v>
      </c>
      <c r="G42" s="5" t="s">
        <v>140</v>
      </c>
      <c r="H42" s="5" t="s">
        <v>141</v>
      </c>
      <c r="I42" s="5"/>
      <c r="J42" s="5"/>
      <c r="K42" s="5">
        <v>209</v>
      </c>
      <c r="L42" s="5">
        <v>23</v>
      </c>
      <c r="M42" s="5">
        <v>3</v>
      </c>
      <c r="N42" s="5" t="s">
        <v>3</v>
      </c>
      <c r="O42" s="5">
        <v>0</v>
      </c>
      <c r="P42" s="5">
        <v>18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0</v>
      </c>
      <c r="G43" s="5" t="s">
        <v>142</v>
      </c>
      <c r="H43" s="5" t="s">
        <v>143</v>
      </c>
      <c r="I43" s="5"/>
      <c r="J43" s="5"/>
      <c r="K43" s="5">
        <v>233</v>
      </c>
      <c r="L43" s="5">
        <v>24</v>
      </c>
      <c r="M43" s="5">
        <v>3</v>
      </c>
      <c r="N43" s="5" t="s">
        <v>3</v>
      </c>
      <c r="O43" s="5">
        <v>0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162</v>
      </c>
      <c r="G44" s="5" t="s">
        <v>144</v>
      </c>
      <c r="H44" s="5" t="s">
        <v>145</v>
      </c>
      <c r="I44" s="5"/>
      <c r="J44" s="5"/>
      <c r="K44" s="5">
        <v>210</v>
      </c>
      <c r="L44" s="5">
        <v>25</v>
      </c>
      <c r="M44" s="5">
        <v>3</v>
      </c>
      <c r="N44" s="5" t="s">
        <v>3</v>
      </c>
      <c r="O44" s="5">
        <v>0</v>
      </c>
      <c r="P44" s="5">
        <v>5223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108</v>
      </c>
      <c r="G45" s="5" t="s">
        <v>146</v>
      </c>
      <c r="H45" s="5" t="s">
        <v>147</v>
      </c>
      <c r="I45" s="5"/>
      <c r="J45" s="5"/>
      <c r="K45" s="5">
        <v>211</v>
      </c>
      <c r="L45" s="5">
        <v>26</v>
      </c>
      <c r="M45" s="5">
        <v>3</v>
      </c>
      <c r="N45" s="5" t="s">
        <v>3</v>
      </c>
      <c r="O45" s="5">
        <v>0</v>
      </c>
      <c r="P45" s="5">
        <v>3133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3763</v>
      </c>
      <c r="G46" s="5" t="s">
        <v>148</v>
      </c>
      <c r="H46" s="5" t="s">
        <v>149</v>
      </c>
      <c r="I46" s="5"/>
      <c r="J46" s="5"/>
      <c r="K46" s="5">
        <v>224</v>
      </c>
      <c r="L46" s="5">
        <v>27</v>
      </c>
      <c r="M46" s="5">
        <v>3</v>
      </c>
      <c r="N46" s="5" t="s">
        <v>3</v>
      </c>
      <c r="O46" s="5">
        <v>0</v>
      </c>
      <c r="P46" s="5">
        <v>27354</v>
      </c>
    </row>
    <row r="48" spans="1:16" x14ac:dyDescent="0.2">
      <c r="A48">
        <v>-1</v>
      </c>
    </row>
    <row r="51" spans="1:50" x14ac:dyDescent="0.2">
      <c r="A51" s="4">
        <v>75</v>
      </c>
      <c r="B51" s="4" t="s">
        <v>218</v>
      </c>
      <c r="C51" s="4">
        <v>2000</v>
      </c>
      <c r="D51" s="4">
        <v>0</v>
      </c>
      <c r="E51" s="4">
        <v>1</v>
      </c>
      <c r="F51" s="4"/>
      <c r="G51" s="4">
        <v>0</v>
      </c>
      <c r="H51" s="4">
        <v>1</v>
      </c>
      <c r="I51" s="4">
        <v>0</v>
      </c>
      <c r="J51" s="4">
        <v>4</v>
      </c>
      <c r="K51" s="4">
        <v>0</v>
      </c>
      <c r="L51" s="4">
        <v>0</v>
      </c>
      <c r="M51" s="4">
        <v>0</v>
      </c>
      <c r="N51" s="4">
        <v>71570243</v>
      </c>
      <c r="O51" s="4">
        <v>1</v>
      </c>
    </row>
    <row r="52" spans="1:50" x14ac:dyDescent="0.2">
      <c r="A52" s="4">
        <v>75</v>
      </c>
      <c r="B52" s="4" t="s">
        <v>219</v>
      </c>
      <c r="C52" s="4">
        <v>2025</v>
      </c>
      <c r="D52" s="4">
        <v>0</v>
      </c>
      <c r="E52" s="4">
        <v>3</v>
      </c>
      <c r="F52" s="4"/>
      <c r="G52" s="4">
        <v>0</v>
      </c>
      <c r="H52" s="4">
        <v>2</v>
      </c>
      <c r="I52" s="4">
        <v>0</v>
      </c>
      <c r="J52" s="4">
        <v>3</v>
      </c>
      <c r="K52" s="4">
        <v>0</v>
      </c>
      <c r="L52" s="4">
        <v>0</v>
      </c>
      <c r="M52" s="4">
        <v>1</v>
      </c>
      <c r="N52" s="4">
        <v>71570244</v>
      </c>
      <c r="O52" s="4">
        <v>2</v>
      </c>
    </row>
    <row r="53" spans="1:50" x14ac:dyDescent="0.2">
      <c r="A53" s="6">
        <v>1</v>
      </c>
      <c r="B53" s="6" t="s">
        <v>220</v>
      </c>
      <c r="C53" s="6" t="s">
        <v>221</v>
      </c>
      <c r="D53" s="6">
        <v>2024</v>
      </c>
      <c r="E53" s="6">
        <v>3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7.56</v>
      </c>
      <c r="L53" s="6">
        <v>4.83</v>
      </c>
      <c r="M53" s="6">
        <v>1</v>
      </c>
      <c r="N53" s="6">
        <v>1</v>
      </c>
      <c r="O53" s="6">
        <v>7.56</v>
      </c>
      <c r="P53" s="6">
        <v>4.83</v>
      </c>
      <c r="Q53" s="6">
        <v>1</v>
      </c>
      <c r="R53" s="6" t="s">
        <v>3</v>
      </c>
      <c r="S53" s="6" t="s">
        <v>3</v>
      </c>
      <c r="T53" s="6" t="s">
        <v>3</v>
      </c>
      <c r="U53" s="6" t="s">
        <v>3</v>
      </c>
      <c r="V53" s="6" t="s">
        <v>3</v>
      </c>
      <c r="W53" s="6" t="s">
        <v>3</v>
      </c>
      <c r="X53" s="6" t="s">
        <v>3</v>
      </c>
      <c r="Y53" s="6" t="s">
        <v>3</v>
      </c>
      <c r="Z53" s="6" t="s">
        <v>3</v>
      </c>
      <c r="AA53" s="6" t="s">
        <v>3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71570245</v>
      </c>
      <c r="AO53" s="6"/>
      <c r="AP53" s="6"/>
      <c r="AQ53" s="6"/>
      <c r="AR53" s="6"/>
      <c r="AS53" s="6"/>
      <c r="AT53" s="6"/>
      <c r="AU53" s="6"/>
      <c r="AV53" s="6"/>
      <c r="AW53" s="6"/>
      <c r="AX53" s="6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ROW(Source!A25)</f>
        <v>25</v>
      </c>
      <c r="B1">
        <v>71570243</v>
      </c>
      <c r="C1">
        <v>71570309</v>
      </c>
      <c r="D1">
        <v>27496249</v>
      </c>
      <c r="E1">
        <v>1</v>
      </c>
      <c r="F1">
        <v>1</v>
      </c>
      <c r="G1">
        <v>1</v>
      </c>
      <c r="H1">
        <v>1</v>
      </c>
      <c r="I1" t="s">
        <v>223</v>
      </c>
      <c r="J1" t="s">
        <v>3</v>
      </c>
      <c r="K1" t="s">
        <v>224</v>
      </c>
      <c r="L1">
        <v>1369</v>
      </c>
      <c r="N1">
        <v>1013</v>
      </c>
      <c r="O1" t="s">
        <v>225</v>
      </c>
      <c r="P1" t="s">
        <v>225</v>
      </c>
      <c r="Q1">
        <v>1</v>
      </c>
      <c r="W1">
        <v>0</v>
      </c>
      <c r="X1">
        <v>1616613361</v>
      </c>
      <c r="Y1">
        <f t="shared" ref="Y1:Y48" si="0">AT1</f>
        <v>3.66</v>
      </c>
      <c r="AA1">
        <v>0</v>
      </c>
      <c r="AB1">
        <v>0</v>
      </c>
      <c r="AC1">
        <v>0</v>
      </c>
      <c r="AD1">
        <v>7.74</v>
      </c>
      <c r="AE1">
        <v>0</v>
      </c>
      <c r="AF1">
        <v>0</v>
      </c>
      <c r="AG1">
        <v>0</v>
      </c>
      <c r="AH1">
        <v>7.74</v>
      </c>
      <c r="AI1">
        <v>1</v>
      </c>
      <c r="AJ1">
        <v>1</v>
      </c>
      <c r="AK1">
        <v>1</v>
      </c>
      <c r="AL1">
        <v>1</v>
      </c>
      <c r="AM1">
        <v>0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3.66</v>
      </c>
      <c r="AU1" t="s">
        <v>3</v>
      </c>
      <c r="AV1">
        <v>1</v>
      </c>
      <c r="AW1">
        <v>2</v>
      </c>
      <c r="AX1">
        <v>71570316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ROUND(AT1*Source!I25*AH1*AL1,0)</f>
        <v>18</v>
      </c>
      <c r="CV1">
        <f>ROUND(Y1*Source!I25,9)</f>
        <v>2.36436</v>
      </c>
      <c r="CW1">
        <v>0</v>
      </c>
      <c r="CX1">
        <f>ROUND(Y1*Source!I25,9)</f>
        <v>2.36436</v>
      </c>
      <c r="CY1">
        <f>AD1</f>
        <v>7.74</v>
      </c>
      <c r="CZ1">
        <f>AH1</f>
        <v>7.74</v>
      </c>
      <c r="DA1">
        <f>AL1</f>
        <v>1</v>
      </c>
      <c r="DB1">
        <f t="shared" ref="DB1:DB48" si="1">ROUND(ROUND(AT1*CZ1,2),2)</f>
        <v>28.33</v>
      </c>
      <c r="DC1">
        <f t="shared" ref="DC1:DC48" si="2">ROUND(ROUND(AT1*AG1,2),2)</f>
        <v>0</v>
      </c>
      <c r="DD1" t="s">
        <v>3</v>
      </c>
      <c r="DE1" t="s">
        <v>3</v>
      </c>
      <c r="DF1">
        <f t="shared" ref="DF1:DF10" si="3">ROUND(ROUND(AE1,0)*CX1,0)</f>
        <v>0</v>
      </c>
      <c r="DG1">
        <f t="shared" ref="DG1:DG8" si="4">ROUND(ROUND(AF1,0)*CX1,0)</f>
        <v>0</v>
      </c>
      <c r="DH1">
        <f>Source!I25*SmtRes!Y1</f>
        <v>2.36436</v>
      </c>
      <c r="DI1">
        <f>AD1</f>
        <v>7.74</v>
      </c>
      <c r="DJ1">
        <f>EtalonRes!AB1</f>
        <v>7.74</v>
      </c>
      <c r="DK1">
        <f>Source!BA25</f>
        <v>1</v>
      </c>
      <c r="DL1" t="s">
        <v>3</v>
      </c>
      <c r="DM1">
        <v>0</v>
      </c>
      <c r="DN1" t="s">
        <v>3</v>
      </c>
      <c r="DO1">
        <v>0</v>
      </c>
      <c r="GQ1">
        <v>-1</v>
      </c>
      <c r="GR1">
        <v>-1</v>
      </c>
    </row>
    <row r="2" spans="1:200" x14ac:dyDescent="0.2">
      <c r="A2">
        <f>ROW(Source!A25)</f>
        <v>25</v>
      </c>
      <c r="B2">
        <v>71570243</v>
      </c>
      <c r="C2">
        <v>71570309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40</v>
      </c>
      <c r="J2" t="s">
        <v>3</v>
      </c>
      <c r="K2" t="s">
        <v>226</v>
      </c>
      <c r="L2">
        <v>608254</v>
      </c>
      <c r="N2">
        <v>1013</v>
      </c>
      <c r="O2" t="s">
        <v>227</v>
      </c>
      <c r="P2" t="s">
        <v>227</v>
      </c>
      <c r="Q2">
        <v>1</v>
      </c>
      <c r="W2">
        <v>0</v>
      </c>
      <c r="X2">
        <v>-185737400</v>
      </c>
      <c r="Y2">
        <f t="shared" si="0"/>
        <v>2.04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0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2.04</v>
      </c>
      <c r="AU2" t="s">
        <v>3</v>
      </c>
      <c r="AV2">
        <v>2</v>
      </c>
      <c r="AW2">
        <v>2</v>
      </c>
      <c r="AX2">
        <v>71570317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ROUND(Y2*Source!I25,9)</f>
        <v>1.3178399999999999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 t="shared" si="4"/>
        <v>0</v>
      </c>
      <c r="DH2">
        <f>Source!I25*SmtRes!Y2</f>
        <v>1.3178400000000001</v>
      </c>
      <c r="DI2">
        <f>AD2</f>
        <v>0</v>
      </c>
      <c r="DJ2">
        <f>EtalonRes!AB2</f>
        <v>0</v>
      </c>
      <c r="DK2">
        <f>Source!BA25</f>
        <v>1</v>
      </c>
      <c r="DL2" t="s">
        <v>3</v>
      </c>
      <c r="DM2">
        <v>0</v>
      </c>
      <c r="DN2" t="s">
        <v>3</v>
      </c>
      <c r="DO2">
        <v>0</v>
      </c>
      <c r="GQ2">
        <v>-1</v>
      </c>
      <c r="GR2">
        <v>-1</v>
      </c>
    </row>
    <row r="3" spans="1:200" x14ac:dyDescent="0.2">
      <c r="A3">
        <f>ROW(Source!A25)</f>
        <v>25</v>
      </c>
      <c r="B3">
        <v>71570243</v>
      </c>
      <c r="C3">
        <v>71570309</v>
      </c>
      <c r="D3">
        <v>27440142</v>
      </c>
      <c r="E3">
        <v>1</v>
      </c>
      <c r="F3">
        <v>1</v>
      </c>
      <c r="G3">
        <v>1</v>
      </c>
      <c r="H3">
        <v>2</v>
      </c>
      <c r="I3" t="s">
        <v>228</v>
      </c>
      <c r="J3" t="s">
        <v>229</v>
      </c>
      <c r="K3" t="s">
        <v>230</v>
      </c>
      <c r="L3">
        <v>1368</v>
      </c>
      <c r="N3">
        <v>1011</v>
      </c>
      <c r="O3" t="s">
        <v>231</v>
      </c>
      <c r="P3" t="s">
        <v>231</v>
      </c>
      <c r="Q3">
        <v>1</v>
      </c>
      <c r="W3">
        <v>0</v>
      </c>
      <c r="X3">
        <v>-1297968336</v>
      </c>
      <c r="Y3">
        <f t="shared" si="0"/>
        <v>1.01</v>
      </c>
      <c r="AA3">
        <v>0</v>
      </c>
      <c r="AB3">
        <v>54.5</v>
      </c>
      <c r="AC3">
        <v>13.61</v>
      </c>
      <c r="AD3">
        <v>0</v>
      </c>
      <c r="AE3">
        <v>0</v>
      </c>
      <c r="AF3">
        <v>54.5</v>
      </c>
      <c r="AG3">
        <v>13.61</v>
      </c>
      <c r="AH3">
        <v>0</v>
      </c>
      <c r="AI3">
        <v>1</v>
      </c>
      <c r="AJ3">
        <v>1</v>
      </c>
      <c r="AK3">
        <v>1</v>
      </c>
      <c r="AL3">
        <v>1</v>
      </c>
      <c r="AM3">
        <v>0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1.01</v>
      </c>
      <c r="AU3" t="s">
        <v>3</v>
      </c>
      <c r="AV3">
        <v>0</v>
      </c>
      <c r="AW3">
        <v>2</v>
      </c>
      <c r="AX3">
        <v>71570318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f>ROUND(Y3*Source!I25*DO3,9)</f>
        <v>0</v>
      </c>
      <c r="CX3">
        <f>ROUND(Y3*Source!I25,9)</f>
        <v>0.65246000000000004</v>
      </c>
      <c r="CY3">
        <f>AB3</f>
        <v>54.5</v>
      </c>
      <c r="CZ3">
        <f>AF3</f>
        <v>54.5</v>
      </c>
      <c r="DA3">
        <f>AJ3</f>
        <v>1</v>
      </c>
      <c r="DB3">
        <f t="shared" si="1"/>
        <v>55.05</v>
      </c>
      <c r="DC3">
        <f t="shared" si="2"/>
        <v>13.75</v>
      </c>
      <c r="DD3" t="s">
        <v>3</v>
      </c>
      <c r="DE3" t="s">
        <v>3</v>
      </c>
      <c r="DF3">
        <f t="shared" si="3"/>
        <v>0</v>
      </c>
      <c r="DG3">
        <f t="shared" si="4"/>
        <v>36</v>
      </c>
      <c r="DH3">
        <f>Source!I25*SmtRes!Y3</f>
        <v>0.65246000000000004</v>
      </c>
      <c r="DI3">
        <f>AB3</f>
        <v>54.5</v>
      </c>
      <c r="DJ3">
        <f>EtalonRes!Z3</f>
        <v>54.5</v>
      </c>
      <c r="DK3">
        <f>Source!BB25</f>
        <v>1</v>
      </c>
      <c r="DL3" t="s">
        <v>3</v>
      </c>
      <c r="DM3">
        <v>0</v>
      </c>
      <c r="DN3" t="s">
        <v>3</v>
      </c>
      <c r="DO3">
        <v>0</v>
      </c>
      <c r="GQ3">
        <v>-1</v>
      </c>
      <c r="GR3">
        <v>-1</v>
      </c>
    </row>
    <row r="4" spans="1:200" x14ac:dyDescent="0.2">
      <c r="A4">
        <f>ROW(Source!A25)</f>
        <v>25</v>
      </c>
      <c r="B4">
        <v>71570243</v>
      </c>
      <c r="C4">
        <v>71570309</v>
      </c>
      <c r="D4">
        <v>27440145</v>
      </c>
      <c r="E4">
        <v>1</v>
      </c>
      <c r="F4">
        <v>1</v>
      </c>
      <c r="G4">
        <v>1</v>
      </c>
      <c r="H4">
        <v>2</v>
      </c>
      <c r="I4" t="s">
        <v>232</v>
      </c>
      <c r="J4" t="s">
        <v>233</v>
      </c>
      <c r="K4" t="s">
        <v>234</v>
      </c>
      <c r="L4">
        <v>1368</v>
      </c>
      <c r="N4">
        <v>1011</v>
      </c>
      <c r="O4" t="s">
        <v>231</v>
      </c>
      <c r="P4" t="s">
        <v>231</v>
      </c>
      <c r="Q4">
        <v>1</v>
      </c>
      <c r="W4">
        <v>0</v>
      </c>
      <c r="X4">
        <v>-998837907</v>
      </c>
      <c r="Y4">
        <f t="shared" si="0"/>
        <v>1.03</v>
      </c>
      <c r="AA4">
        <v>0</v>
      </c>
      <c r="AB4">
        <v>109.42</v>
      </c>
      <c r="AC4">
        <v>11.69</v>
      </c>
      <c r="AD4">
        <v>0</v>
      </c>
      <c r="AE4">
        <v>0</v>
      </c>
      <c r="AF4">
        <v>109.42</v>
      </c>
      <c r="AG4">
        <v>11.69</v>
      </c>
      <c r="AH4">
        <v>0</v>
      </c>
      <c r="AI4">
        <v>1</v>
      </c>
      <c r="AJ4">
        <v>1</v>
      </c>
      <c r="AK4">
        <v>1</v>
      </c>
      <c r="AL4">
        <v>1</v>
      </c>
      <c r="AM4">
        <v>0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1.03</v>
      </c>
      <c r="AU4" t="s">
        <v>3</v>
      </c>
      <c r="AV4">
        <v>0</v>
      </c>
      <c r="AW4">
        <v>2</v>
      </c>
      <c r="AX4">
        <v>71570319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f>ROUND(Y4*Source!I25*DO4,9)</f>
        <v>0</v>
      </c>
      <c r="CX4">
        <f>ROUND(Y4*Source!I25,9)</f>
        <v>0.66537999999999997</v>
      </c>
      <c r="CY4">
        <f>AB4</f>
        <v>109.42</v>
      </c>
      <c r="CZ4">
        <f>AF4</f>
        <v>109.42</v>
      </c>
      <c r="DA4">
        <f>AJ4</f>
        <v>1</v>
      </c>
      <c r="DB4">
        <f t="shared" si="1"/>
        <v>112.7</v>
      </c>
      <c r="DC4">
        <f t="shared" si="2"/>
        <v>12.04</v>
      </c>
      <c r="DD4" t="s">
        <v>3</v>
      </c>
      <c r="DE4" t="s">
        <v>3</v>
      </c>
      <c r="DF4">
        <f t="shared" si="3"/>
        <v>0</v>
      </c>
      <c r="DG4">
        <f t="shared" si="4"/>
        <v>73</v>
      </c>
      <c r="DH4">
        <f>Source!I25*SmtRes!Y4</f>
        <v>0.66538000000000008</v>
      </c>
      <c r="DI4">
        <f>AB4</f>
        <v>109.42</v>
      </c>
      <c r="DJ4">
        <f>EtalonRes!Z4</f>
        <v>109.42</v>
      </c>
      <c r="DK4">
        <f>Source!BB25</f>
        <v>1</v>
      </c>
      <c r="DL4" t="s">
        <v>3</v>
      </c>
      <c r="DM4">
        <v>0</v>
      </c>
      <c r="DN4" t="s">
        <v>3</v>
      </c>
      <c r="DO4">
        <v>0</v>
      </c>
      <c r="GQ4">
        <v>-1</v>
      </c>
      <c r="GR4">
        <v>-1</v>
      </c>
    </row>
    <row r="5" spans="1:200" x14ac:dyDescent="0.2">
      <c r="A5">
        <f>ROW(Source!A25)</f>
        <v>25</v>
      </c>
      <c r="B5">
        <v>71570243</v>
      </c>
      <c r="C5">
        <v>71570309</v>
      </c>
      <c r="D5">
        <v>27372027</v>
      </c>
      <c r="E5">
        <v>1</v>
      </c>
      <c r="F5">
        <v>1</v>
      </c>
      <c r="G5">
        <v>1</v>
      </c>
      <c r="H5">
        <v>3</v>
      </c>
      <c r="I5" t="s">
        <v>31</v>
      </c>
      <c r="J5" t="s">
        <v>34</v>
      </c>
      <c r="K5" t="s">
        <v>32</v>
      </c>
      <c r="L5">
        <v>1348</v>
      </c>
      <c r="N5">
        <v>1009</v>
      </c>
      <c r="O5" t="s">
        <v>33</v>
      </c>
      <c r="P5" t="s">
        <v>33</v>
      </c>
      <c r="Q5">
        <v>1000</v>
      </c>
      <c r="W5">
        <v>0</v>
      </c>
      <c r="X5">
        <v>1186881756</v>
      </c>
      <c r="Y5">
        <f t="shared" si="0"/>
        <v>8.0000000000000004E-4</v>
      </c>
      <c r="AA5">
        <v>40650</v>
      </c>
      <c r="AB5">
        <v>0</v>
      </c>
      <c r="AC5">
        <v>0</v>
      </c>
      <c r="AD5">
        <v>0</v>
      </c>
      <c r="AE5">
        <v>40650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 t="s">
        <v>3</v>
      </c>
      <c r="AT5">
        <v>8.0000000000000004E-4</v>
      </c>
      <c r="AU5" t="s">
        <v>3</v>
      </c>
      <c r="AV5">
        <v>0</v>
      </c>
      <c r="AW5">
        <v>2</v>
      </c>
      <c r="AX5">
        <v>71570320</v>
      </c>
      <c r="AY5">
        <v>1</v>
      </c>
      <c r="AZ5">
        <v>0</v>
      </c>
      <c r="BA5">
        <v>5</v>
      </c>
      <c r="BB5">
        <v>3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v>0</v>
      </c>
      <c r="CX5">
        <f>ROUND(Y5*Source!I25,9)</f>
        <v>5.1679999999999999E-4</v>
      </c>
      <c r="CY5">
        <f>AA5</f>
        <v>40650</v>
      </c>
      <c r="CZ5">
        <f>AE5</f>
        <v>40650</v>
      </c>
      <c r="DA5">
        <f>AI5</f>
        <v>1</v>
      </c>
      <c r="DB5">
        <f t="shared" si="1"/>
        <v>32.520000000000003</v>
      </c>
      <c r="DC5">
        <f t="shared" si="2"/>
        <v>0</v>
      </c>
      <c r="DD5" t="s">
        <v>3</v>
      </c>
      <c r="DE5" t="s">
        <v>3</v>
      </c>
      <c r="DF5">
        <f t="shared" si="3"/>
        <v>21</v>
      </c>
      <c r="DG5">
        <f t="shared" si="4"/>
        <v>0</v>
      </c>
      <c r="DH5">
        <f>Source!I25*SmtRes!Y5</f>
        <v>5.1680000000000009E-4</v>
      </c>
      <c r="DI5">
        <f>AA5</f>
        <v>40650</v>
      </c>
      <c r="DJ5">
        <f>EtalonRes!Y5</f>
        <v>40650</v>
      </c>
      <c r="DK5">
        <f>Source!BC25</f>
        <v>1</v>
      </c>
      <c r="DL5" t="s">
        <v>3</v>
      </c>
      <c r="DM5">
        <v>0</v>
      </c>
      <c r="DN5" t="s">
        <v>3</v>
      </c>
      <c r="DO5">
        <v>0</v>
      </c>
      <c r="GP5">
        <v>1</v>
      </c>
      <c r="GQ5">
        <v>-1</v>
      </c>
      <c r="GR5">
        <v>-1</v>
      </c>
    </row>
    <row r="6" spans="1:200" x14ac:dyDescent="0.2">
      <c r="A6">
        <f>ROW(Source!A25)</f>
        <v>25</v>
      </c>
      <c r="B6">
        <v>71570243</v>
      </c>
      <c r="C6">
        <v>71570309</v>
      </c>
      <c r="D6">
        <v>27387240</v>
      </c>
      <c r="E6">
        <v>1</v>
      </c>
      <c r="F6">
        <v>1</v>
      </c>
      <c r="G6">
        <v>1</v>
      </c>
      <c r="H6">
        <v>3</v>
      </c>
      <c r="I6" t="s">
        <v>42</v>
      </c>
      <c r="J6" t="s">
        <v>44</v>
      </c>
      <c r="K6" t="s">
        <v>43</v>
      </c>
      <c r="L6">
        <v>1348</v>
      </c>
      <c r="N6">
        <v>1009</v>
      </c>
      <c r="O6" t="s">
        <v>33</v>
      </c>
      <c r="P6" t="s">
        <v>33</v>
      </c>
      <c r="Q6">
        <v>1000</v>
      </c>
      <c r="W6">
        <v>0</v>
      </c>
      <c r="X6">
        <v>-1313832324</v>
      </c>
      <c r="Y6">
        <f t="shared" si="0"/>
        <v>4.2000000000000003E-2</v>
      </c>
      <c r="AA6">
        <v>24950</v>
      </c>
      <c r="AB6">
        <v>0</v>
      </c>
      <c r="AC6">
        <v>0</v>
      </c>
      <c r="AD6">
        <v>0</v>
      </c>
      <c r="AE6">
        <v>24950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 t="s">
        <v>3</v>
      </c>
      <c r="AT6">
        <v>4.2000000000000003E-2</v>
      </c>
      <c r="AU6" t="s">
        <v>3</v>
      </c>
      <c r="AV6">
        <v>0</v>
      </c>
      <c r="AW6">
        <v>2</v>
      </c>
      <c r="AX6">
        <v>71570321</v>
      </c>
      <c r="AY6">
        <v>1</v>
      </c>
      <c r="AZ6">
        <v>0</v>
      </c>
      <c r="BA6">
        <v>6</v>
      </c>
      <c r="BB6">
        <v>3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ROUND(Y6*Source!I25,9)</f>
        <v>2.7132E-2</v>
      </c>
      <c r="CY6">
        <f>AA6</f>
        <v>24950</v>
      </c>
      <c r="CZ6">
        <f>AE6</f>
        <v>24950</v>
      </c>
      <c r="DA6">
        <f>AI6</f>
        <v>1</v>
      </c>
      <c r="DB6">
        <f t="shared" si="1"/>
        <v>1047.9000000000001</v>
      </c>
      <c r="DC6">
        <f t="shared" si="2"/>
        <v>0</v>
      </c>
      <c r="DD6" t="s">
        <v>3</v>
      </c>
      <c r="DE6" t="s">
        <v>3</v>
      </c>
      <c r="DF6">
        <f t="shared" si="3"/>
        <v>677</v>
      </c>
      <c r="DG6">
        <f t="shared" si="4"/>
        <v>0</v>
      </c>
      <c r="DH6">
        <f>Source!I25*SmtRes!Y6</f>
        <v>2.7132000000000003E-2</v>
      </c>
      <c r="DI6">
        <f>AA6</f>
        <v>24950</v>
      </c>
      <c r="DJ6">
        <f>EtalonRes!Y6</f>
        <v>24950</v>
      </c>
      <c r="DK6">
        <f>Source!BC25</f>
        <v>1</v>
      </c>
      <c r="DL6" t="s">
        <v>3</v>
      </c>
      <c r="DM6">
        <v>0</v>
      </c>
      <c r="DN6" t="s">
        <v>3</v>
      </c>
      <c r="DO6">
        <v>0</v>
      </c>
      <c r="GP6">
        <v>1</v>
      </c>
      <c r="GQ6">
        <v>-1</v>
      </c>
      <c r="GR6">
        <v>-1</v>
      </c>
    </row>
    <row r="7" spans="1:200" x14ac:dyDescent="0.2">
      <c r="A7">
        <f>ROW(Source!A26)</f>
        <v>26</v>
      </c>
      <c r="B7">
        <v>71570244</v>
      </c>
      <c r="C7">
        <v>71570309</v>
      </c>
      <c r="D7">
        <v>27496249</v>
      </c>
      <c r="E7">
        <v>1</v>
      </c>
      <c r="F7">
        <v>1</v>
      </c>
      <c r="G7">
        <v>1</v>
      </c>
      <c r="H7">
        <v>1</v>
      </c>
      <c r="I7" t="s">
        <v>223</v>
      </c>
      <c r="J7" t="s">
        <v>3</v>
      </c>
      <c r="K7" t="s">
        <v>224</v>
      </c>
      <c r="L7">
        <v>1369</v>
      </c>
      <c r="N7">
        <v>1013</v>
      </c>
      <c r="O7" t="s">
        <v>225</v>
      </c>
      <c r="P7" t="s">
        <v>225</v>
      </c>
      <c r="Q7">
        <v>1</v>
      </c>
      <c r="W7">
        <v>0</v>
      </c>
      <c r="X7">
        <v>1616613361</v>
      </c>
      <c r="Y7">
        <f t="shared" si="0"/>
        <v>3.66</v>
      </c>
      <c r="AA7">
        <v>0</v>
      </c>
      <c r="AB7">
        <v>0</v>
      </c>
      <c r="AC7">
        <v>0</v>
      </c>
      <c r="AD7">
        <v>294.12</v>
      </c>
      <c r="AE7">
        <v>0</v>
      </c>
      <c r="AF7">
        <v>0</v>
      </c>
      <c r="AG7">
        <v>0</v>
      </c>
      <c r="AH7">
        <v>7.74</v>
      </c>
      <c r="AI7">
        <v>1</v>
      </c>
      <c r="AJ7">
        <v>1</v>
      </c>
      <c r="AK7">
        <v>1</v>
      </c>
      <c r="AL7">
        <v>38</v>
      </c>
      <c r="AM7">
        <v>5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3.66</v>
      </c>
      <c r="AU7" t="s">
        <v>3</v>
      </c>
      <c r="AV7">
        <v>1</v>
      </c>
      <c r="AW7">
        <v>2</v>
      </c>
      <c r="AX7">
        <v>71570316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U7">
        <f>ROUND(AT7*Source!I26*AH7*AL7,0)</f>
        <v>695</v>
      </c>
      <c r="CV7">
        <f>ROUND(Y7*Source!I26,9)</f>
        <v>2.36436</v>
      </c>
      <c r="CW7">
        <v>0</v>
      </c>
      <c r="CX7">
        <f>ROUND(Y7*Source!I26,9)</f>
        <v>2.36436</v>
      </c>
      <c r="CY7">
        <f>AD7</f>
        <v>294.12</v>
      </c>
      <c r="CZ7">
        <f>AH7</f>
        <v>7.74</v>
      </c>
      <c r="DA7">
        <f>AL7</f>
        <v>38</v>
      </c>
      <c r="DB7">
        <f t="shared" si="1"/>
        <v>28.33</v>
      </c>
      <c r="DC7">
        <f t="shared" si="2"/>
        <v>0</v>
      </c>
      <c r="DD7" t="s">
        <v>3</v>
      </c>
      <c r="DE7" t="s">
        <v>3</v>
      </c>
      <c r="DF7">
        <f t="shared" si="3"/>
        <v>0</v>
      </c>
      <c r="DG7">
        <f t="shared" si="4"/>
        <v>0</v>
      </c>
      <c r="DH7">
        <f>Source!I26*SmtRes!Y7</f>
        <v>2.36436</v>
      </c>
      <c r="DI7">
        <f>AD7</f>
        <v>294.12</v>
      </c>
      <c r="DJ7">
        <f>EtalonRes!AB7</f>
        <v>7.74</v>
      </c>
      <c r="DK7">
        <f>Source!BA26</f>
        <v>38</v>
      </c>
      <c r="DL7" t="s">
        <v>3</v>
      </c>
      <c r="DM7">
        <v>0</v>
      </c>
      <c r="DN7" t="s">
        <v>3</v>
      </c>
      <c r="DO7">
        <v>0</v>
      </c>
      <c r="GQ7">
        <v>-1</v>
      </c>
      <c r="GR7">
        <v>-1</v>
      </c>
    </row>
    <row r="8" spans="1:200" x14ac:dyDescent="0.2">
      <c r="A8">
        <f>ROW(Source!A26)</f>
        <v>26</v>
      </c>
      <c r="B8">
        <v>71570244</v>
      </c>
      <c r="C8">
        <v>71570309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40</v>
      </c>
      <c r="J8" t="s">
        <v>3</v>
      </c>
      <c r="K8" t="s">
        <v>226</v>
      </c>
      <c r="L8">
        <v>608254</v>
      </c>
      <c r="N8">
        <v>1013</v>
      </c>
      <c r="O8" t="s">
        <v>227</v>
      </c>
      <c r="P8" t="s">
        <v>227</v>
      </c>
      <c r="Q8">
        <v>1</v>
      </c>
      <c r="W8">
        <v>0</v>
      </c>
      <c r="X8">
        <v>-185737400</v>
      </c>
      <c r="Y8">
        <f t="shared" si="0"/>
        <v>2.04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19.8</v>
      </c>
      <c r="AL8">
        <v>1</v>
      </c>
      <c r="AM8">
        <v>5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2.04</v>
      </c>
      <c r="AU8" t="s">
        <v>3</v>
      </c>
      <c r="AV8">
        <v>2</v>
      </c>
      <c r="AW8">
        <v>2</v>
      </c>
      <c r="AX8">
        <v>71570317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ROUND(Y8*Source!I26,9)</f>
        <v>1.3178399999999999</v>
      </c>
      <c r="CY8">
        <f>AD8</f>
        <v>0</v>
      </c>
      <c r="CZ8">
        <f>AH8</f>
        <v>0</v>
      </c>
      <c r="DA8">
        <f>AL8</f>
        <v>1</v>
      </c>
      <c r="DB8">
        <f t="shared" si="1"/>
        <v>0</v>
      </c>
      <c r="DC8">
        <f t="shared" si="2"/>
        <v>0</v>
      </c>
      <c r="DD8" t="s">
        <v>3</v>
      </c>
      <c r="DE8" t="s">
        <v>3</v>
      </c>
      <c r="DF8">
        <f t="shared" si="3"/>
        <v>0</v>
      </c>
      <c r="DG8">
        <f t="shared" si="4"/>
        <v>0</v>
      </c>
      <c r="DH8">
        <f>Source!I26*SmtRes!Y8</f>
        <v>1.3178400000000001</v>
      </c>
      <c r="DI8">
        <f>AD8</f>
        <v>0</v>
      </c>
      <c r="DJ8">
        <f>EtalonRes!AB8</f>
        <v>0</v>
      </c>
      <c r="DK8">
        <f>Source!BA26</f>
        <v>38</v>
      </c>
      <c r="DL8" t="s">
        <v>3</v>
      </c>
      <c r="DM8">
        <v>0</v>
      </c>
      <c r="DN8" t="s">
        <v>3</v>
      </c>
      <c r="DO8">
        <v>0</v>
      </c>
      <c r="GQ8">
        <v>-1</v>
      </c>
      <c r="GR8">
        <v>-1</v>
      </c>
    </row>
    <row r="9" spans="1:200" x14ac:dyDescent="0.2">
      <c r="A9">
        <f>ROW(Source!A26)</f>
        <v>26</v>
      </c>
      <c r="B9">
        <v>71570244</v>
      </c>
      <c r="C9">
        <v>71570309</v>
      </c>
      <c r="D9">
        <v>27440142</v>
      </c>
      <c r="E9">
        <v>1</v>
      </c>
      <c r="F9">
        <v>1</v>
      </c>
      <c r="G9">
        <v>1</v>
      </c>
      <c r="H9">
        <v>2</v>
      </c>
      <c r="I9" t="s">
        <v>228</v>
      </c>
      <c r="J9" t="s">
        <v>229</v>
      </c>
      <c r="K9" t="s">
        <v>230</v>
      </c>
      <c r="L9">
        <v>1368</v>
      </c>
      <c r="N9">
        <v>1011</v>
      </c>
      <c r="O9" t="s">
        <v>231</v>
      </c>
      <c r="P9" t="s">
        <v>231</v>
      </c>
      <c r="Q9">
        <v>1</v>
      </c>
      <c r="W9">
        <v>0</v>
      </c>
      <c r="X9">
        <v>-1297968336</v>
      </c>
      <c r="Y9">
        <f t="shared" si="0"/>
        <v>1.01</v>
      </c>
      <c r="AA9">
        <v>0</v>
      </c>
      <c r="AB9">
        <v>506.85</v>
      </c>
      <c r="AC9">
        <v>269.48</v>
      </c>
      <c r="AD9">
        <v>0</v>
      </c>
      <c r="AE9">
        <v>0</v>
      </c>
      <c r="AF9">
        <v>54.5</v>
      </c>
      <c r="AG9">
        <v>13.61</v>
      </c>
      <c r="AH9">
        <v>0</v>
      </c>
      <c r="AI9">
        <v>1</v>
      </c>
      <c r="AJ9">
        <v>9.3000000000000007</v>
      </c>
      <c r="AK9">
        <v>19.8</v>
      </c>
      <c r="AL9">
        <v>1</v>
      </c>
      <c r="AM9">
        <v>5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1.01</v>
      </c>
      <c r="AU9" t="s">
        <v>3</v>
      </c>
      <c r="AV9">
        <v>0</v>
      </c>
      <c r="AW9">
        <v>2</v>
      </c>
      <c r="AX9">
        <v>71570318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f>ROUND(Y9*Source!I26*DO9,9)</f>
        <v>0</v>
      </c>
      <c r="CX9">
        <f>ROUND(Y9*Source!I26,9)</f>
        <v>0.65246000000000004</v>
      </c>
      <c r="CY9">
        <f>AB9</f>
        <v>506.85</v>
      </c>
      <c r="CZ9">
        <f>AF9</f>
        <v>54.5</v>
      </c>
      <c r="DA9">
        <f>AJ9</f>
        <v>9.3000000000000007</v>
      </c>
      <c r="DB9">
        <f t="shared" si="1"/>
        <v>55.05</v>
      </c>
      <c r="DC9">
        <f t="shared" si="2"/>
        <v>13.75</v>
      </c>
      <c r="DD9" t="s">
        <v>3</v>
      </c>
      <c r="DE9" t="s">
        <v>3</v>
      </c>
      <c r="DF9">
        <f t="shared" si="3"/>
        <v>0</v>
      </c>
      <c r="DG9">
        <f>ROUND(ROUND(AF9*AJ9,0)*CX9,0)</f>
        <v>331</v>
      </c>
      <c r="DH9">
        <f>Source!I26*SmtRes!Y9</f>
        <v>0.65246000000000004</v>
      </c>
      <c r="DI9">
        <f>AB9</f>
        <v>506.85</v>
      </c>
      <c r="DJ9">
        <f>EtalonRes!Z9</f>
        <v>54.5</v>
      </c>
      <c r="DK9">
        <f>Source!BB26</f>
        <v>9.3000000000000007</v>
      </c>
      <c r="DL9" t="s">
        <v>3</v>
      </c>
      <c r="DM9">
        <v>0</v>
      </c>
      <c r="DN9" t="s">
        <v>3</v>
      </c>
      <c r="DO9">
        <v>0</v>
      </c>
      <c r="GQ9">
        <v>-1</v>
      </c>
      <c r="GR9">
        <v>-1</v>
      </c>
    </row>
    <row r="10" spans="1:200" x14ac:dyDescent="0.2">
      <c r="A10">
        <f>ROW(Source!A26)</f>
        <v>26</v>
      </c>
      <c r="B10">
        <v>71570244</v>
      </c>
      <c r="C10">
        <v>71570309</v>
      </c>
      <c r="D10">
        <v>27440145</v>
      </c>
      <c r="E10">
        <v>1</v>
      </c>
      <c r="F10">
        <v>1</v>
      </c>
      <c r="G10">
        <v>1</v>
      </c>
      <c r="H10">
        <v>2</v>
      </c>
      <c r="I10" t="s">
        <v>232</v>
      </c>
      <c r="J10" t="s">
        <v>233</v>
      </c>
      <c r="K10" t="s">
        <v>234</v>
      </c>
      <c r="L10">
        <v>1368</v>
      </c>
      <c r="N10">
        <v>1011</v>
      </c>
      <c r="O10" t="s">
        <v>231</v>
      </c>
      <c r="P10" t="s">
        <v>231</v>
      </c>
      <c r="Q10">
        <v>1</v>
      </c>
      <c r="W10">
        <v>0</v>
      </c>
      <c r="X10">
        <v>-998837907</v>
      </c>
      <c r="Y10">
        <f t="shared" si="0"/>
        <v>1.03</v>
      </c>
      <c r="AA10">
        <v>0</v>
      </c>
      <c r="AB10">
        <v>1017.61</v>
      </c>
      <c r="AC10">
        <v>231.46</v>
      </c>
      <c r="AD10">
        <v>0</v>
      </c>
      <c r="AE10">
        <v>0</v>
      </c>
      <c r="AF10">
        <v>109.42</v>
      </c>
      <c r="AG10">
        <v>11.69</v>
      </c>
      <c r="AH10">
        <v>0</v>
      </c>
      <c r="AI10">
        <v>1</v>
      </c>
      <c r="AJ10">
        <v>9.3000000000000007</v>
      </c>
      <c r="AK10">
        <v>19.8</v>
      </c>
      <c r="AL10">
        <v>1</v>
      </c>
      <c r="AM10">
        <v>5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1.03</v>
      </c>
      <c r="AU10" t="s">
        <v>3</v>
      </c>
      <c r="AV10">
        <v>0</v>
      </c>
      <c r="AW10">
        <v>2</v>
      </c>
      <c r="AX10">
        <v>71570319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f>ROUND(Y10*Source!I26*DO10,9)</f>
        <v>0</v>
      </c>
      <c r="CX10">
        <f>ROUND(Y10*Source!I26,9)</f>
        <v>0.66537999999999997</v>
      </c>
      <c r="CY10">
        <f>AB10</f>
        <v>1017.61</v>
      </c>
      <c r="CZ10">
        <f>AF10</f>
        <v>109.42</v>
      </c>
      <c r="DA10">
        <f>AJ10</f>
        <v>9.3000000000000007</v>
      </c>
      <c r="DB10">
        <f t="shared" si="1"/>
        <v>112.7</v>
      </c>
      <c r="DC10">
        <f t="shared" si="2"/>
        <v>12.04</v>
      </c>
      <c r="DD10" t="s">
        <v>3</v>
      </c>
      <c r="DE10" t="s">
        <v>3</v>
      </c>
      <c r="DF10">
        <f t="shared" si="3"/>
        <v>0</v>
      </c>
      <c r="DG10">
        <f>ROUND(ROUND(AF10*AJ10,0)*CX10,0)</f>
        <v>677</v>
      </c>
      <c r="DH10">
        <f>Source!I26*SmtRes!Y10</f>
        <v>0.66538000000000008</v>
      </c>
      <c r="DI10">
        <f>AB10</f>
        <v>1017.61</v>
      </c>
      <c r="DJ10">
        <f>EtalonRes!Z10</f>
        <v>109.42</v>
      </c>
      <c r="DK10">
        <f>Source!BB26</f>
        <v>9.3000000000000007</v>
      </c>
      <c r="DL10" t="s">
        <v>3</v>
      </c>
      <c r="DM10">
        <v>0</v>
      </c>
      <c r="DN10" t="s">
        <v>3</v>
      </c>
      <c r="DO10">
        <v>0</v>
      </c>
      <c r="GQ10">
        <v>-1</v>
      </c>
      <c r="GR10">
        <v>-1</v>
      </c>
    </row>
    <row r="11" spans="1:200" x14ac:dyDescent="0.2">
      <c r="A11">
        <f>ROW(Source!A26)</f>
        <v>26</v>
      </c>
      <c r="B11">
        <v>71570244</v>
      </c>
      <c r="C11">
        <v>71570309</v>
      </c>
      <c r="D11">
        <v>27372027</v>
      </c>
      <c r="E11">
        <v>1</v>
      </c>
      <c r="F11">
        <v>1</v>
      </c>
      <c r="G11">
        <v>1</v>
      </c>
      <c r="H11">
        <v>3</v>
      </c>
      <c r="I11" t="s">
        <v>31</v>
      </c>
      <c r="J11" t="s">
        <v>34</v>
      </c>
      <c r="K11" t="s">
        <v>32</v>
      </c>
      <c r="L11">
        <v>1348</v>
      </c>
      <c r="N11">
        <v>1009</v>
      </c>
      <c r="O11" t="s">
        <v>33</v>
      </c>
      <c r="P11" t="s">
        <v>33</v>
      </c>
      <c r="Q11">
        <v>1000</v>
      </c>
      <c r="W11">
        <v>0</v>
      </c>
      <c r="X11">
        <v>1186881756</v>
      </c>
      <c r="Y11">
        <f t="shared" si="0"/>
        <v>8.0000000000000004E-4</v>
      </c>
      <c r="AA11">
        <v>40650</v>
      </c>
      <c r="AB11">
        <v>0</v>
      </c>
      <c r="AC11">
        <v>0</v>
      </c>
      <c r="AD11">
        <v>0</v>
      </c>
      <c r="AE11">
        <v>5654.5399999999991</v>
      </c>
      <c r="AF11">
        <v>0</v>
      </c>
      <c r="AG11">
        <v>0</v>
      </c>
      <c r="AH11">
        <v>0</v>
      </c>
      <c r="AI11">
        <v>7.56</v>
      </c>
      <c r="AJ11">
        <v>1</v>
      </c>
      <c r="AK11">
        <v>1</v>
      </c>
      <c r="AL11">
        <v>1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 t="s">
        <v>3</v>
      </c>
      <c r="AT11">
        <v>8.0000000000000004E-4</v>
      </c>
      <c r="AU11" t="s">
        <v>3</v>
      </c>
      <c r="AV11">
        <v>0</v>
      </c>
      <c r="AW11">
        <v>2</v>
      </c>
      <c r="AX11">
        <v>71570320</v>
      </c>
      <c r="AY11">
        <v>1</v>
      </c>
      <c r="AZ11">
        <v>16384</v>
      </c>
      <c r="BA11">
        <v>11</v>
      </c>
      <c r="BB11">
        <v>3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ROUND(Y11*Source!I26,9)</f>
        <v>5.1679999999999999E-4</v>
      </c>
      <c r="CY11">
        <f>AA11</f>
        <v>40650</v>
      </c>
      <c r="CZ11">
        <f>AE11</f>
        <v>5654.5399999999991</v>
      </c>
      <c r="DA11">
        <f>AI11</f>
        <v>7.56</v>
      </c>
      <c r="DB11">
        <f t="shared" si="1"/>
        <v>4.5199999999999996</v>
      </c>
      <c r="DC11">
        <f t="shared" si="2"/>
        <v>0</v>
      </c>
      <c r="DD11" t="s">
        <v>3</v>
      </c>
      <c r="DE11" t="s">
        <v>3</v>
      </c>
      <c r="DF11">
        <f>ROUND(ROUND(AE11*AI11,0)*CX11,0)</f>
        <v>22</v>
      </c>
      <c r="DG11">
        <f t="shared" ref="DG11:DG20" si="5">ROUND(ROUND(AF11,0)*CX11,0)</f>
        <v>0</v>
      </c>
      <c r="DH11">
        <f>Source!I26*SmtRes!Y11</f>
        <v>5.1680000000000009E-4</v>
      </c>
      <c r="DI11">
        <f>AA11</f>
        <v>40650</v>
      </c>
      <c r="DJ11">
        <f>EtalonRes!Y11</f>
        <v>40650</v>
      </c>
      <c r="DK11">
        <f>Source!BC26</f>
        <v>7.56</v>
      </c>
      <c r="DL11" t="s">
        <v>3</v>
      </c>
      <c r="DM11">
        <v>0</v>
      </c>
      <c r="DN11" t="s">
        <v>3</v>
      </c>
      <c r="DO11">
        <v>0</v>
      </c>
      <c r="GP11">
        <v>1</v>
      </c>
      <c r="GQ11">
        <v>-1</v>
      </c>
      <c r="GR11">
        <v>-1</v>
      </c>
    </row>
    <row r="12" spans="1:200" x14ac:dyDescent="0.2">
      <c r="A12">
        <f>ROW(Source!A26)</f>
        <v>26</v>
      </c>
      <c r="B12">
        <v>71570244</v>
      </c>
      <c r="C12">
        <v>71570309</v>
      </c>
      <c r="D12">
        <v>27387240</v>
      </c>
      <c r="E12">
        <v>1</v>
      </c>
      <c r="F12">
        <v>1</v>
      </c>
      <c r="G12">
        <v>1</v>
      </c>
      <c r="H12">
        <v>3</v>
      </c>
      <c r="I12" t="s">
        <v>42</v>
      </c>
      <c r="J12" t="s">
        <v>44</v>
      </c>
      <c r="K12" t="s">
        <v>43</v>
      </c>
      <c r="L12">
        <v>1348</v>
      </c>
      <c r="N12">
        <v>1009</v>
      </c>
      <c r="O12" t="s">
        <v>33</v>
      </c>
      <c r="P12" t="s">
        <v>33</v>
      </c>
      <c r="Q12">
        <v>1000</v>
      </c>
      <c r="W12">
        <v>0</v>
      </c>
      <c r="X12">
        <v>-1313832324</v>
      </c>
      <c r="Y12">
        <f t="shared" si="0"/>
        <v>4.2000000000000003E-2</v>
      </c>
      <c r="AA12">
        <v>165540</v>
      </c>
      <c r="AB12">
        <v>0</v>
      </c>
      <c r="AC12">
        <v>0</v>
      </c>
      <c r="AD12">
        <v>0</v>
      </c>
      <c r="AE12">
        <v>23027.14</v>
      </c>
      <c r="AF12">
        <v>0</v>
      </c>
      <c r="AG12">
        <v>0</v>
      </c>
      <c r="AH12">
        <v>0</v>
      </c>
      <c r="AI12">
        <v>7.56</v>
      </c>
      <c r="AJ12">
        <v>1</v>
      </c>
      <c r="AK12">
        <v>1</v>
      </c>
      <c r="AL12">
        <v>1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 t="s">
        <v>3</v>
      </c>
      <c r="AT12">
        <v>4.2000000000000003E-2</v>
      </c>
      <c r="AU12" t="s">
        <v>3</v>
      </c>
      <c r="AV12">
        <v>0</v>
      </c>
      <c r="AW12">
        <v>2</v>
      </c>
      <c r="AX12">
        <v>71570321</v>
      </c>
      <c r="AY12">
        <v>1</v>
      </c>
      <c r="AZ12">
        <v>16384</v>
      </c>
      <c r="BA12">
        <v>12</v>
      </c>
      <c r="BB12">
        <v>3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ROUND(Y12*Source!I26,9)</f>
        <v>2.7132E-2</v>
      </c>
      <c r="CY12">
        <f>AA12</f>
        <v>165540</v>
      </c>
      <c r="CZ12">
        <f>AE12</f>
        <v>23027.14</v>
      </c>
      <c r="DA12">
        <f>AI12</f>
        <v>7.56</v>
      </c>
      <c r="DB12">
        <f t="shared" si="1"/>
        <v>967.14</v>
      </c>
      <c r="DC12">
        <f t="shared" si="2"/>
        <v>0</v>
      </c>
      <c r="DD12" t="s">
        <v>3</v>
      </c>
      <c r="DE12" t="s">
        <v>3</v>
      </c>
      <c r="DF12">
        <f>ROUND(ROUND(AE12*AI12,0)*CX12,0)</f>
        <v>4723</v>
      </c>
      <c r="DG12">
        <f t="shared" si="5"/>
        <v>0</v>
      </c>
      <c r="DH12">
        <f>Source!I26*SmtRes!Y12</f>
        <v>2.7132000000000003E-2</v>
      </c>
      <c r="DI12">
        <f>AA12</f>
        <v>165540</v>
      </c>
      <c r="DJ12">
        <f>EtalonRes!Y12</f>
        <v>24950</v>
      </c>
      <c r="DK12">
        <f>Source!BC26</f>
        <v>7.56</v>
      </c>
      <c r="DL12" t="s">
        <v>3</v>
      </c>
      <c r="DM12">
        <v>0</v>
      </c>
      <c r="DN12" t="s">
        <v>3</v>
      </c>
      <c r="DO12">
        <v>0</v>
      </c>
      <c r="GP12">
        <v>1</v>
      </c>
      <c r="GQ12">
        <v>-1</v>
      </c>
      <c r="GR12">
        <v>-1</v>
      </c>
    </row>
    <row r="13" spans="1:200" x14ac:dyDescent="0.2">
      <c r="A13">
        <f>ROW(Source!A31)</f>
        <v>31</v>
      </c>
      <c r="B13">
        <v>71570243</v>
      </c>
      <c r="C13">
        <v>71714038</v>
      </c>
      <c r="D13">
        <v>27496249</v>
      </c>
      <c r="E13">
        <v>1</v>
      </c>
      <c r="F13">
        <v>1</v>
      </c>
      <c r="G13">
        <v>1</v>
      </c>
      <c r="H13">
        <v>1</v>
      </c>
      <c r="I13" t="s">
        <v>223</v>
      </c>
      <c r="J13" t="s">
        <v>3</v>
      </c>
      <c r="K13" t="s">
        <v>224</v>
      </c>
      <c r="L13">
        <v>1369</v>
      </c>
      <c r="N13">
        <v>1013</v>
      </c>
      <c r="O13" t="s">
        <v>225</v>
      </c>
      <c r="P13" t="s">
        <v>225</v>
      </c>
      <c r="Q13">
        <v>1</v>
      </c>
      <c r="W13">
        <v>0</v>
      </c>
      <c r="X13">
        <v>1616613361</v>
      </c>
      <c r="Y13">
        <f t="shared" si="0"/>
        <v>3.66</v>
      </c>
      <c r="AA13">
        <v>0</v>
      </c>
      <c r="AB13">
        <v>0</v>
      </c>
      <c r="AC13">
        <v>0</v>
      </c>
      <c r="AD13">
        <v>7.74</v>
      </c>
      <c r="AE13">
        <v>0</v>
      </c>
      <c r="AF13">
        <v>0</v>
      </c>
      <c r="AG13">
        <v>0</v>
      </c>
      <c r="AH13">
        <v>7.74</v>
      </c>
      <c r="AI13">
        <v>1</v>
      </c>
      <c r="AJ13">
        <v>1</v>
      </c>
      <c r="AK13">
        <v>1</v>
      </c>
      <c r="AL13">
        <v>1</v>
      </c>
      <c r="AM13">
        <v>-2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3.66</v>
      </c>
      <c r="AU13" t="s">
        <v>3</v>
      </c>
      <c r="AV13">
        <v>1</v>
      </c>
      <c r="AW13">
        <v>2</v>
      </c>
      <c r="AX13">
        <v>71714045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U13">
        <f>ROUND(AT13*Source!I31*AH13*AL13,0)</f>
        <v>1</v>
      </c>
      <c r="CV13">
        <f>ROUND(Y13*Source!I31,9)</f>
        <v>0.13725000000000001</v>
      </c>
      <c r="CW13">
        <v>0</v>
      </c>
      <c r="CX13">
        <f>ROUND(Y13*Source!I31,9)</f>
        <v>0.13725000000000001</v>
      </c>
      <c r="CY13">
        <f>AD13</f>
        <v>7.74</v>
      </c>
      <c r="CZ13">
        <f>AH13</f>
        <v>7.74</v>
      </c>
      <c r="DA13">
        <f>AL13</f>
        <v>1</v>
      </c>
      <c r="DB13">
        <f t="shared" si="1"/>
        <v>28.33</v>
      </c>
      <c r="DC13">
        <f t="shared" si="2"/>
        <v>0</v>
      </c>
      <c r="DD13" t="s">
        <v>3</v>
      </c>
      <c r="DE13" t="s">
        <v>3</v>
      </c>
      <c r="DF13">
        <f t="shared" ref="DF13:DF22" si="6">ROUND(ROUND(AE13,0)*CX13,0)</f>
        <v>0</v>
      </c>
      <c r="DG13">
        <f t="shared" si="5"/>
        <v>0</v>
      </c>
      <c r="DH13">
        <f>Source!I31*SmtRes!Y13</f>
        <v>0.13725000000000001</v>
      </c>
      <c r="DI13">
        <f>AD13</f>
        <v>7.74</v>
      </c>
      <c r="DJ13">
        <f>EtalonRes!AB13</f>
        <v>7.74</v>
      </c>
      <c r="DK13">
        <f>Source!BA31</f>
        <v>1</v>
      </c>
      <c r="DL13" t="s">
        <v>3</v>
      </c>
      <c r="DM13">
        <v>0</v>
      </c>
      <c r="DN13" t="s">
        <v>3</v>
      </c>
      <c r="DO13">
        <v>0</v>
      </c>
      <c r="GQ13">
        <v>-1</v>
      </c>
      <c r="GR13">
        <v>-1</v>
      </c>
    </row>
    <row r="14" spans="1:200" x14ac:dyDescent="0.2">
      <c r="A14">
        <f>ROW(Source!A31)</f>
        <v>31</v>
      </c>
      <c r="B14">
        <v>71570243</v>
      </c>
      <c r="C14">
        <v>71714038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40</v>
      </c>
      <c r="J14" t="s">
        <v>3</v>
      </c>
      <c r="K14" t="s">
        <v>226</v>
      </c>
      <c r="L14">
        <v>608254</v>
      </c>
      <c r="N14">
        <v>1013</v>
      </c>
      <c r="O14" t="s">
        <v>227</v>
      </c>
      <c r="P14" t="s">
        <v>227</v>
      </c>
      <c r="Q14">
        <v>1</v>
      </c>
      <c r="W14">
        <v>0</v>
      </c>
      <c r="X14">
        <v>-185737400</v>
      </c>
      <c r="Y14">
        <f t="shared" si="0"/>
        <v>2.04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2.04</v>
      </c>
      <c r="AU14" t="s">
        <v>3</v>
      </c>
      <c r="AV14">
        <v>2</v>
      </c>
      <c r="AW14">
        <v>2</v>
      </c>
      <c r="AX14">
        <v>71714046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ROUND(Y14*Source!I31,9)</f>
        <v>7.6499999999999999E-2</v>
      </c>
      <c r="CY14">
        <f>AD14</f>
        <v>0</v>
      </c>
      <c r="CZ14">
        <f>AH14</f>
        <v>0</v>
      </c>
      <c r="DA14">
        <f>AL14</f>
        <v>1</v>
      </c>
      <c r="DB14">
        <f t="shared" si="1"/>
        <v>0</v>
      </c>
      <c r="DC14">
        <f t="shared" si="2"/>
        <v>0</v>
      </c>
      <c r="DD14" t="s">
        <v>3</v>
      </c>
      <c r="DE14" t="s">
        <v>3</v>
      </c>
      <c r="DF14">
        <f t="shared" si="6"/>
        <v>0</v>
      </c>
      <c r="DG14">
        <f t="shared" si="5"/>
        <v>0</v>
      </c>
      <c r="DH14">
        <f>Source!I31*SmtRes!Y14</f>
        <v>7.6499999999999999E-2</v>
      </c>
      <c r="DI14">
        <f>AD14</f>
        <v>0</v>
      </c>
      <c r="DJ14">
        <f>EtalonRes!AB14</f>
        <v>0</v>
      </c>
      <c r="DK14">
        <f>Source!BA31</f>
        <v>1</v>
      </c>
      <c r="DL14" t="s">
        <v>3</v>
      </c>
      <c r="DM14">
        <v>0</v>
      </c>
      <c r="DN14" t="s">
        <v>3</v>
      </c>
      <c r="DO14">
        <v>0</v>
      </c>
      <c r="GQ14">
        <v>-1</v>
      </c>
      <c r="GR14">
        <v>-1</v>
      </c>
    </row>
    <row r="15" spans="1:200" x14ac:dyDescent="0.2">
      <c r="A15">
        <f>ROW(Source!A31)</f>
        <v>31</v>
      </c>
      <c r="B15">
        <v>71570243</v>
      </c>
      <c r="C15">
        <v>71714038</v>
      </c>
      <c r="D15">
        <v>27440142</v>
      </c>
      <c r="E15">
        <v>1</v>
      </c>
      <c r="F15">
        <v>1</v>
      </c>
      <c r="G15">
        <v>1</v>
      </c>
      <c r="H15">
        <v>2</v>
      </c>
      <c r="I15" t="s">
        <v>228</v>
      </c>
      <c r="J15" t="s">
        <v>229</v>
      </c>
      <c r="K15" t="s">
        <v>230</v>
      </c>
      <c r="L15">
        <v>1368</v>
      </c>
      <c r="N15">
        <v>1011</v>
      </c>
      <c r="O15" t="s">
        <v>231</v>
      </c>
      <c r="P15" t="s">
        <v>231</v>
      </c>
      <c r="Q15">
        <v>1</v>
      </c>
      <c r="W15">
        <v>0</v>
      </c>
      <c r="X15">
        <v>-1297968336</v>
      </c>
      <c r="Y15">
        <f t="shared" si="0"/>
        <v>1.01</v>
      </c>
      <c r="AA15">
        <v>0</v>
      </c>
      <c r="AB15">
        <v>54.5</v>
      </c>
      <c r="AC15">
        <v>13.61</v>
      </c>
      <c r="AD15">
        <v>0</v>
      </c>
      <c r="AE15">
        <v>0</v>
      </c>
      <c r="AF15">
        <v>54.5</v>
      </c>
      <c r="AG15">
        <v>13.61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1.01</v>
      </c>
      <c r="AU15" t="s">
        <v>3</v>
      </c>
      <c r="AV15">
        <v>0</v>
      </c>
      <c r="AW15">
        <v>2</v>
      </c>
      <c r="AX15">
        <v>71714047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f>ROUND(Y15*Source!I31*DO15,9)</f>
        <v>0</v>
      </c>
      <c r="CX15">
        <f>ROUND(Y15*Source!I31,9)</f>
        <v>3.7874999999999999E-2</v>
      </c>
      <c r="CY15">
        <f>AB15</f>
        <v>54.5</v>
      </c>
      <c r="CZ15">
        <f>AF15</f>
        <v>54.5</v>
      </c>
      <c r="DA15">
        <f>AJ15</f>
        <v>1</v>
      </c>
      <c r="DB15">
        <f t="shared" si="1"/>
        <v>55.05</v>
      </c>
      <c r="DC15">
        <f t="shared" si="2"/>
        <v>13.75</v>
      </c>
      <c r="DD15" t="s">
        <v>3</v>
      </c>
      <c r="DE15" t="s">
        <v>3</v>
      </c>
      <c r="DF15">
        <f t="shared" si="6"/>
        <v>0</v>
      </c>
      <c r="DG15">
        <f t="shared" si="5"/>
        <v>2</v>
      </c>
      <c r="DH15">
        <f>Source!I31*SmtRes!Y15</f>
        <v>3.7874999999999999E-2</v>
      </c>
      <c r="DI15">
        <f>AB15</f>
        <v>54.5</v>
      </c>
      <c r="DJ15">
        <f>EtalonRes!Z15</f>
        <v>54.5</v>
      </c>
      <c r="DK15">
        <f>Source!BB31</f>
        <v>1</v>
      </c>
      <c r="DL15" t="s">
        <v>3</v>
      </c>
      <c r="DM15">
        <v>0</v>
      </c>
      <c r="DN15" t="s">
        <v>3</v>
      </c>
      <c r="DO15">
        <v>0</v>
      </c>
      <c r="GQ15">
        <v>-1</v>
      </c>
      <c r="GR15">
        <v>-1</v>
      </c>
    </row>
    <row r="16" spans="1:200" x14ac:dyDescent="0.2">
      <c r="A16">
        <f>ROW(Source!A31)</f>
        <v>31</v>
      </c>
      <c r="B16">
        <v>71570243</v>
      </c>
      <c r="C16">
        <v>71714038</v>
      </c>
      <c r="D16">
        <v>27440145</v>
      </c>
      <c r="E16">
        <v>1</v>
      </c>
      <c r="F16">
        <v>1</v>
      </c>
      <c r="G16">
        <v>1</v>
      </c>
      <c r="H16">
        <v>2</v>
      </c>
      <c r="I16" t="s">
        <v>232</v>
      </c>
      <c r="J16" t="s">
        <v>233</v>
      </c>
      <c r="K16" t="s">
        <v>234</v>
      </c>
      <c r="L16">
        <v>1368</v>
      </c>
      <c r="N16">
        <v>1011</v>
      </c>
      <c r="O16" t="s">
        <v>231</v>
      </c>
      <c r="P16" t="s">
        <v>231</v>
      </c>
      <c r="Q16">
        <v>1</v>
      </c>
      <c r="W16">
        <v>0</v>
      </c>
      <c r="X16">
        <v>-998837907</v>
      </c>
      <c r="Y16">
        <f t="shared" si="0"/>
        <v>1.03</v>
      </c>
      <c r="AA16">
        <v>0</v>
      </c>
      <c r="AB16">
        <v>109.42</v>
      </c>
      <c r="AC16">
        <v>11.69</v>
      </c>
      <c r="AD16">
        <v>0</v>
      </c>
      <c r="AE16">
        <v>0</v>
      </c>
      <c r="AF16">
        <v>109.42</v>
      </c>
      <c r="AG16">
        <v>11.69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1.03</v>
      </c>
      <c r="AU16" t="s">
        <v>3</v>
      </c>
      <c r="AV16">
        <v>0</v>
      </c>
      <c r="AW16">
        <v>2</v>
      </c>
      <c r="AX16">
        <v>71714048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f>ROUND(Y16*Source!I31*DO16,9)</f>
        <v>0</v>
      </c>
      <c r="CX16">
        <f>ROUND(Y16*Source!I31,9)</f>
        <v>3.8625E-2</v>
      </c>
      <c r="CY16">
        <f>AB16</f>
        <v>109.42</v>
      </c>
      <c r="CZ16">
        <f>AF16</f>
        <v>109.42</v>
      </c>
      <c r="DA16">
        <f>AJ16</f>
        <v>1</v>
      </c>
      <c r="DB16">
        <f t="shared" si="1"/>
        <v>112.7</v>
      </c>
      <c r="DC16">
        <f t="shared" si="2"/>
        <v>12.04</v>
      </c>
      <c r="DD16" t="s">
        <v>3</v>
      </c>
      <c r="DE16" t="s">
        <v>3</v>
      </c>
      <c r="DF16">
        <f t="shared" si="6"/>
        <v>0</v>
      </c>
      <c r="DG16">
        <f t="shared" si="5"/>
        <v>4</v>
      </c>
      <c r="DH16">
        <f>Source!I31*SmtRes!Y16</f>
        <v>3.8625E-2</v>
      </c>
      <c r="DI16">
        <f>AB16</f>
        <v>109.42</v>
      </c>
      <c r="DJ16">
        <f>EtalonRes!Z16</f>
        <v>109.42</v>
      </c>
      <c r="DK16">
        <f>Source!BB31</f>
        <v>1</v>
      </c>
      <c r="DL16" t="s">
        <v>3</v>
      </c>
      <c r="DM16">
        <v>0</v>
      </c>
      <c r="DN16" t="s">
        <v>3</v>
      </c>
      <c r="DO16">
        <v>0</v>
      </c>
      <c r="GQ16">
        <v>-1</v>
      </c>
      <c r="GR16">
        <v>-1</v>
      </c>
    </row>
    <row r="17" spans="1:200" x14ac:dyDescent="0.2">
      <c r="A17">
        <f>ROW(Source!A31)</f>
        <v>31</v>
      </c>
      <c r="B17">
        <v>71570243</v>
      </c>
      <c r="C17">
        <v>71714038</v>
      </c>
      <c r="D17">
        <v>27372027</v>
      </c>
      <c r="E17">
        <v>1</v>
      </c>
      <c r="F17">
        <v>1</v>
      </c>
      <c r="G17">
        <v>1</v>
      </c>
      <c r="H17">
        <v>3</v>
      </c>
      <c r="I17" t="s">
        <v>31</v>
      </c>
      <c r="J17" t="s">
        <v>50</v>
      </c>
      <c r="K17" t="s">
        <v>32</v>
      </c>
      <c r="L17">
        <v>1348</v>
      </c>
      <c r="N17">
        <v>1009</v>
      </c>
      <c r="O17" t="s">
        <v>33</v>
      </c>
      <c r="P17" t="s">
        <v>33</v>
      </c>
      <c r="Q17">
        <v>1000</v>
      </c>
      <c r="W17">
        <v>0</v>
      </c>
      <c r="X17">
        <v>698560581</v>
      </c>
      <c r="Y17">
        <f t="shared" si="0"/>
        <v>8.0000000000000004E-4</v>
      </c>
      <c r="AA17">
        <v>40650</v>
      </c>
      <c r="AB17">
        <v>0</v>
      </c>
      <c r="AC17">
        <v>0</v>
      </c>
      <c r="AD17">
        <v>0</v>
      </c>
      <c r="AE17">
        <v>40650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0</v>
      </c>
      <c r="AN17">
        <v>0</v>
      </c>
      <c r="AO17">
        <v>0</v>
      </c>
      <c r="AP17">
        <v>1</v>
      </c>
      <c r="AQ17">
        <v>0</v>
      </c>
      <c r="AR17">
        <v>0</v>
      </c>
      <c r="AS17" t="s">
        <v>3</v>
      </c>
      <c r="AT17">
        <v>8.0000000000000004E-4</v>
      </c>
      <c r="AU17" t="s">
        <v>3</v>
      </c>
      <c r="AV17">
        <v>0</v>
      </c>
      <c r="AW17">
        <v>2</v>
      </c>
      <c r="AX17">
        <v>71714049</v>
      </c>
      <c r="AY17">
        <v>1</v>
      </c>
      <c r="AZ17">
        <v>0</v>
      </c>
      <c r="BA17">
        <v>17</v>
      </c>
      <c r="BB17">
        <v>3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ROUND(Y17*Source!I31,9)</f>
        <v>3.0000000000000001E-5</v>
      </c>
      <c r="CY17">
        <f>AA17</f>
        <v>40650</v>
      </c>
      <c r="CZ17">
        <f>AE17</f>
        <v>40650</v>
      </c>
      <c r="DA17">
        <f>AI17</f>
        <v>1</v>
      </c>
      <c r="DB17">
        <f t="shared" si="1"/>
        <v>32.520000000000003</v>
      </c>
      <c r="DC17">
        <f t="shared" si="2"/>
        <v>0</v>
      </c>
      <c r="DD17" t="s">
        <v>3</v>
      </c>
      <c r="DE17" t="s">
        <v>3</v>
      </c>
      <c r="DF17">
        <f t="shared" si="6"/>
        <v>1</v>
      </c>
      <c r="DG17">
        <f t="shared" si="5"/>
        <v>0</v>
      </c>
      <c r="DH17">
        <f>Source!I31*SmtRes!Y17</f>
        <v>3.0000000000000001E-5</v>
      </c>
      <c r="DI17">
        <f>AA17</f>
        <v>40650</v>
      </c>
      <c r="DJ17">
        <f>EtalonRes!Y17</f>
        <v>40650</v>
      </c>
      <c r="DK17">
        <f>Source!BC31</f>
        <v>1</v>
      </c>
      <c r="DL17" t="s">
        <v>3</v>
      </c>
      <c r="DM17">
        <v>0</v>
      </c>
      <c r="DN17" t="s">
        <v>3</v>
      </c>
      <c r="DO17">
        <v>0</v>
      </c>
      <c r="GP17">
        <v>1</v>
      </c>
      <c r="GQ17">
        <v>-1</v>
      </c>
      <c r="GR17">
        <v>-1</v>
      </c>
    </row>
    <row r="18" spans="1:200" x14ac:dyDescent="0.2">
      <c r="A18">
        <f>ROW(Source!A31)</f>
        <v>31</v>
      </c>
      <c r="B18">
        <v>71570243</v>
      </c>
      <c r="C18">
        <v>71714038</v>
      </c>
      <c r="D18">
        <v>27387240</v>
      </c>
      <c r="E18">
        <v>1</v>
      </c>
      <c r="F18">
        <v>1</v>
      </c>
      <c r="G18">
        <v>1</v>
      </c>
      <c r="H18">
        <v>3</v>
      </c>
      <c r="I18" t="s">
        <v>42</v>
      </c>
      <c r="J18" t="s">
        <v>55</v>
      </c>
      <c r="K18" t="s">
        <v>54</v>
      </c>
      <c r="L18">
        <v>1348</v>
      </c>
      <c r="N18">
        <v>1009</v>
      </c>
      <c r="O18" t="s">
        <v>33</v>
      </c>
      <c r="P18" t="s">
        <v>33</v>
      </c>
      <c r="Q18">
        <v>1000</v>
      </c>
      <c r="W18">
        <v>0</v>
      </c>
      <c r="X18">
        <v>920915124</v>
      </c>
      <c r="Y18">
        <f t="shared" si="0"/>
        <v>0.16800000000000001</v>
      </c>
      <c r="AA18">
        <v>24950</v>
      </c>
      <c r="AB18">
        <v>0</v>
      </c>
      <c r="AC18">
        <v>0</v>
      </c>
      <c r="AD18">
        <v>0</v>
      </c>
      <c r="AE18">
        <v>24950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0</v>
      </c>
      <c r="AN18">
        <v>0</v>
      </c>
      <c r="AO18">
        <v>0</v>
      </c>
      <c r="AP18">
        <v>1</v>
      </c>
      <c r="AQ18">
        <v>0</v>
      </c>
      <c r="AR18">
        <v>0</v>
      </c>
      <c r="AS18" t="s">
        <v>3</v>
      </c>
      <c r="AT18">
        <v>0.16800000000000001</v>
      </c>
      <c r="AU18" t="s">
        <v>3</v>
      </c>
      <c r="AV18">
        <v>0</v>
      </c>
      <c r="AW18">
        <v>2</v>
      </c>
      <c r="AX18">
        <v>71714050</v>
      </c>
      <c r="AY18">
        <v>1</v>
      </c>
      <c r="AZ18">
        <v>0</v>
      </c>
      <c r="BA18">
        <v>18</v>
      </c>
      <c r="BB18">
        <v>3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ROUND(Y18*Source!I31,9)</f>
        <v>6.3E-3</v>
      </c>
      <c r="CY18">
        <f>AA18</f>
        <v>24950</v>
      </c>
      <c r="CZ18">
        <f>AE18</f>
        <v>24950</v>
      </c>
      <c r="DA18">
        <f>AI18</f>
        <v>1</v>
      </c>
      <c r="DB18">
        <f t="shared" si="1"/>
        <v>4191.6000000000004</v>
      </c>
      <c r="DC18">
        <f t="shared" si="2"/>
        <v>0</v>
      </c>
      <c r="DD18" t="s">
        <v>3</v>
      </c>
      <c r="DE18" t="s">
        <v>3</v>
      </c>
      <c r="DF18">
        <f t="shared" si="6"/>
        <v>157</v>
      </c>
      <c r="DG18">
        <f t="shared" si="5"/>
        <v>0</v>
      </c>
      <c r="DH18">
        <f>Source!I31*SmtRes!Y18</f>
        <v>6.3E-3</v>
      </c>
      <c r="DI18">
        <f>AA18</f>
        <v>24950</v>
      </c>
      <c r="DJ18">
        <f>EtalonRes!Y18</f>
        <v>24950</v>
      </c>
      <c r="DK18">
        <f>Source!BC31</f>
        <v>1</v>
      </c>
      <c r="DL18" t="s">
        <v>3</v>
      </c>
      <c r="DM18">
        <v>0</v>
      </c>
      <c r="DN18" t="s">
        <v>3</v>
      </c>
      <c r="DO18">
        <v>0</v>
      </c>
      <c r="GP18">
        <v>1</v>
      </c>
      <c r="GQ18">
        <v>-1</v>
      </c>
      <c r="GR18">
        <v>-1</v>
      </c>
    </row>
    <row r="19" spans="1:200" x14ac:dyDescent="0.2">
      <c r="A19">
        <f>ROW(Source!A32)</f>
        <v>32</v>
      </c>
      <c r="B19">
        <v>71570244</v>
      </c>
      <c r="C19">
        <v>71714038</v>
      </c>
      <c r="D19">
        <v>27496249</v>
      </c>
      <c r="E19">
        <v>1</v>
      </c>
      <c r="F19">
        <v>1</v>
      </c>
      <c r="G19">
        <v>1</v>
      </c>
      <c r="H19">
        <v>1</v>
      </c>
      <c r="I19" t="s">
        <v>223</v>
      </c>
      <c r="J19" t="s">
        <v>3</v>
      </c>
      <c r="K19" t="s">
        <v>224</v>
      </c>
      <c r="L19">
        <v>1369</v>
      </c>
      <c r="N19">
        <v>1013</v>
      </c>
      <c r="O19" t="s">
        <v>225</v>
      </c>
      <c r="P19" t="s">
        <v>225</v>
      </c>
      <c r="Q19">
        <v>1</v>
      </c>
      <c r="W19">
        <v>0</v>
      </c>
      <c r="X19">
        <v>1616613361</v>
      </c>
      <c r="Y19">
        <f t="shared" si="0"/>
        <v>3.66</v>
      </c>
      <c r="AA19">
        <v>0</v>
      </c>
      <c r="AB19">
        <v>0</v>
      </c>
      <c r="AC19">
        <v>0</v>
      </c>
      <c r="AD19">
        <v>294.12</v>
      </c>
      <c r="AE19">
        <v>0</v>
      </c>
      <c r="AF19">
        <v>0</v>
      </c>
      <c r="AG19">
        <v>0</v>
      </c>
      <c r="AH19">
        <v>7.74</v>
      </c>
      <c r="AI19">
        <v>1</v>
      </c>
      <c r="AJ19">
        <v>1</v>
      </c>
      <c r="AK19">
        <v>1</v>
      </c>
      <c r="AL19">
        <v>38</v>
      </c>
      <c r="AM19">
        <v>5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3.66</v>
      </c>
      <c r="AU19" t="s">
        <v>3</v>
      </c>
      <c r="AV19">
        <v>1</v>
      </c>
      <c r="AW19">
        <v>2</v>
      </c>
      <c r="AX19">
        <v>71714045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U19">
        <f>ROUND(AT19*Source!I32*AH19*AL19,0)</f>
        <v>40</v>
      </c>
      <c r="CV19">
        <f>ROUND(Y19*Source!I32,9)</f>
        <v>0.13725000000000001</v>
      </c>
      <c r="CW19">
        <v>0</v>
      </c>
      <c r="CX19">
        <f>ROUND(Y19*Source!I32,9)</f>
        <v>0.13725000000000001</v>
      </c>
      <c r="CY19">
        <f>AD19</f>
        <v>294.12</v>
      </c>
      <c r="CZ19">
        <f>AH19</f>
        <v>7.74</v>
      </c>
      <c r="DA19">
        <f>AL19</f>
        <v>38</v>
      </c>
      <c r="DB19">
        <f t="shared" si="1"/>
        <v>28.33</v>
      </c>
      <c r="DC19">
        <f t="shared" si="2"/>
        <v>0</v>
      </c>
      <c r="DD19" t="s">
        <v>3</v>
      </c>
      <c r="DE19" t="s">
        <v>3</v>
      </c>
      <c r="DF19">
        <f t="shared" si="6"/>
        <v>0</v>
      </c>
      <c r="DG19">
        <f t="shared" si="5"/>
        <v>0</v>
      </c>
      <c r="DH19">
        <f>Source!I32*SmtRes!Y19</f>
        <v>0.13725000000000001</v>
      </c>
      <c r="DI19">
        <f>AD19</f>
        <v>294.12</v>
      </c>
      <c r="DJ19">
        <f>EtalonRes!AB19</f>
        <v>7.74</v>
      </c>
      <c r="DK19">
        <f>Source!BA32</f>
        <v>38</v>
      </c>
      <c r="DL19" t="s">
        <v>3</v>
      </c>
      <c r="DM19">
        <v>0</v>
      </c>
      <c r="DN19" t="s">
        <v>3</v>
      </c>
      <c r="DO19">
        <v>0</v>
      </c>
      <c r="GQ19">
        <v>-1</v>
      </c>
      <c r="GR19">
        <v>-1</v>
      </c>
    </row>
    <row r="20" spans="1:200" x14ac:dyDescent="0.2">
      <c r="A20">
        <f>ROW(Source!A32)</f>
        <v>32</v>
      </c>
      <c r="B20">
        <v>71570244</v>
      </c>
      <c r="C20">
        <v>71714038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40</v>
      </c>
      <c r="J20" t="s">
        <v>3</v>
      </c>
      <c r="K20" t="s">
        <v>226</v>
      </c>
      <c r="L20">
        <v>608254</v>
      </c>
      <c r="N20">
        <v>1013</v>
      </c>
      <c r="O20" t="s">
        <v>227</v>
      </c>
      <c r="P20" t="s">
        <v>227</v>
      </c>
      <c r="Q20">
        <v>1</v>
      </c>
      <c r="W20">
        <v>0</v>
      </c>
      <c r="X20">
        <v>-185737400</v>
      </c>
      <c r="Y20">
        <f t="shared" si="0"/>
        <v>2.04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19.8</v>
      </c>
      <c r="AL20">
        <v>1</v>
      </c>
      <c r="AM20">
        <v>5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2.04</v>
      </c>
      <c r="AU20" t="s">
        <v>3</v>
      </c>
      <c r="AV20">
        <v>2</v>
      </c>
      <c r="AW20">
        <v>2</v>
      </c>
      <c r="AX20">
        <v>71714046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ROUND(Y20*Source!I32,9)</f>
        <v>7.6499999999999999E-2</v>
      </c>
      <c r="CY20">
        <f>AD20</f>
        <v>0</v>
      </c>
      <c r="CZ20">
        <f>AH20</f>
        <v>0</v>
      </c>
      <c r="DA20">
        <f>AL20</f>
        <v>1</v>
      </c>
      <c r="DB20">
        <f t="shared" si="1"/>
        <v>0</v>
      </c>
      <c r="DC20">
        <f t="shared" si="2"/>
        <v>0</v>
      </c>
      <c r="DD20" t="s">
        <v>3</v>
      </c>
      <c r="DE20" t="s">
        <v>3</v>
      </c>
      <c r="DF20">
        <f t="shared" si="6"/>
        <v>0</v>
      </c>
      <c r="DG20">
        <f t="shared" si="5"/>
        <v>0</v>
      </c>
      <c r="DH20">
        <f>Source!I32*SmtRes!Y20</f>
        <v>7.6499999999999999E-2</v>
      </c>
      <c r="DI20">
        <f>AD20</f>
        <v>0</v>
      </c>
      <c r="DJ20">
        <f>EtalonRes!AB20</f>
        <v>0</v>
      </c>
      <c r="DK20">
        <f>Source!BA32</f>
        <v>38</v>
      </c>
      <c r="DL20" t="s">
        <v>3</v>
      </c>
      <c r="DM20">
        <v>0</v>
      </c>
      <c r="DN20" t="s">
        <v>3</v>
      </c>
      <c r="DO20">
        <v>0</v>
      </c>
      <c r="GQ20">
        <v>-1</v>
      </c>
      <c r="GR20">
        <v>-1</v>
      </c>
    </row>
    <row r="21" spans="1:200" x14ac:dyDescent="0.2">
      <c r="A21">
        <f>ROW(Source!A32)</f>
        <v>32</v>
      </c>
      <c r="B21">
        <v>71570244</v>
      </c>
      <c r="C21">
        <v>71714038</v>
      </c>
      <c r="D21">
        <v>27440142</v>
      </c>
      <c r="E21">
        <v>1</v>
      </c>
      <c r="F21">
        <v>1</v>
      </c>
      <c r="G21">
        <v>1</v>
      </c>
      <c r="H21">
        <v>2</v>
      </c>
      <c r="I21" t="s">
        <v>228</v>
      </c>
      <c r="J21" t="s">
        <v>229</v>
      </c>
      <c r="K21" t="s">
        <v>230</v>
      </c>
      <c r="L21">
        <v>1368</v>
      </c>
      <c r="N21">
        <v>1011</v>
      </c>
      <c r="O21" t="s">
        <v>231</v>
      </c>
      <c r="P21" t="s">
        <v>231</v>
      </c>
      <c r="Q21">
        <v>1</v>
      </c>
      <c r="W21">
        <v>0</v>
      </c>
      <c r="X21">
        <v>-1297968336</v>
      </c>
      <c r="Y21">
        <f t="shared" si="0"/>
        <v>1.01</v>
      </c>
      <c r="AA21">
        <v>0</v>
      </c>
      <c r="AB21">
        <v>506.85</v>
      </c>
      <c r="AC21">
        <v>269.48</v>
      </c>
      <c r="AD21">
        <v>0</v>
      </c>
      <c r="AE21">
        <v>0</v>
      </c>
      <c r="AF21">
        <v>54.5</v>
      </c>
      <c r="AG21">
        <v>13.61</v>
      </c>
      <c r="AH21">
        <v>0</v>
      </c>
      <c r="AI21">
        <v>1</v>
      </c>
      <c r="AJ21">
        <v>9.3000000000000007</v>
      </c>
      <c r="AK21">
        <v>19.8</v>
      </c>
      <c r="AL21">
        <v>1</v>
      </c>
      <c r="AM21">
        <v>5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1.01</v>
      </c>
      <c r="AU21" t="s">
        <v>3</v>
      </c>
      <c r="AV21">
        <v>0</v>
      </c>
      <c r="AW21">
        <v>2</v>
      </c>
      <c r="AX21">
        <v>71714047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f>ROUND(Y21*Source!I32*DO21,9)</f>
        <v>0</v>
      </c>
      <c r="CX21">
        <f>ROUND(Y21*Source!I32,9)</f>
        <v>3.7874999999999999E-2</v>
      </c>
      <c r="CY21">
        <f>AB21</f>
        <v>506.85</v>
      </c>
      <c r="CZ21">
        <f>AF21</f>
        <v>54.5</v>
      </c>
      <c r="DA21">
        <f>AJ21</f>
        <v>9.3000000000000007</v>
      </c>
      <c r="DB21">
        <f t="shared" si="1"/>
        <v>55.05</v>
      </c>
      <c r="DC21">
        <f t="shared" si="2"/>
        <v>13.75</v>
      </c>
      <c r="DD21" t="s">
        <v>3</v>
      </c>
      <c r="DE21" t="s">
        <v>3</v>
      </c>
      <c r="DF21">
        <f t="shared" si="6"/>
        <v>0</v>
      </c>
      <c r="DG21">
        <f>ROUND(ROUND(AF21*AJ21,0)*CX21,0)</f>
        <v>19</v>
      </c>
      <c r="DH21">
        <f>Source!I32*SmtRes!Y21</f>
        <v>3.7874999999999999E-2</v>
      </c>
      <c r="DI21">
        <f>AB21</f>
        <v>506.85</v>
      </c>
      <c r="DJ21">
        <f>EtalonRes!Z21</f>
        <v>54.5</v>
      </c>
      <c r="DK21">
        <f>Source!BB32</f>
        <v>9.3000000000000007</v>
      </c>
      <c r="DL21" t="s">
        <v>3</v>
      </c>
      <c r="DM21">
        <v>0</v>
      </c>
      <c r="DN21" t="s">
        <v>3</v>
      </c>
      <c r="DO21">
        <v>0</v>
      </c>
      <c r="GQ21">
        <v>-1</v>
      </c>
      <c r="GR21">
        <v>-1</v>
      </c>
    </row>
    <row r="22" spans="1:200" x14ac:dyDescent="0.2">
      <c r="A22">
        <f>ROW(Source!A32)</f>
        <v>32</v>
      </c>
      <c r="B22">
        <v>71570244</v>
      </c>
      <c r="C22">
        <v>71714038</v>
      </c>
      <c r="D22">
        <v>27440145</v>
      </c>
      <c r="E22">
        <v>1</v>
      </c>
      <c r="F22">
        <v>1</v>
      </c>
      <c r="G22">
        <v>1</v>
      </c>
      <c r="H22">
        <v>2</v>
      </c>
      <c r="I22" t="s">
        <v>232</v>
      </c>
      <c r="J22" t="s">
        <v>233</v>
      </c>
      <c r="K22" t="s">
        <v>234</v>
      </c>
      <c r="L22">
        <v>1368</v>
      </c>
      <c r="N22">
        <v>1011</v>
      </c>
      <c r="O22" t="s">
        <v>231</v>
      </c>
      <c r="P22" t="s">
        <v>231</v>
      </c>
      <c r="Q22">
        <v>1</v>
      </c>
      <c r="W22">
        <v>0</v>
      </c>
      <c r="X22">
        <v>-998837907</v>
      </c>
      <c r="Y22">
        <f t="shared" si="0"/>
        <v>1.03</v>
      </c>
      <c r="AA22">
        <v>0</v>
      </c>
      <c r="AB22">
        <v>1017.61</v>
      </c>
      <c r="AC22">
        <v>231.46</v>
      </c>
      <c r="AD22">
        <v>0</v>
      </c>
      <c r="AE22">
        <v>0</v>
      </c>
      <c r="AF22">
        <v>109.42</v>
      </c>
      <c r="AG22">
        <v>11.69</v>
      </c>
      <c r="AH22">
        <v>0</v>
      </c>
      <c r="AI22">
        <v>1</v>
      </c>
      <c r="AJ22">
        <v>9.3000000000000007</v>
      </c>
      <c r="AK22">
        <v>19.8</v>
      </c>
      <c r="AL22">
        <v>1</v>
      </c>
      <c r="AM22">
        <v>5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1.03</v>
      </c>
      <c r="AU22" t="s">
        <v>3</v>
      </c>
      <c r="AV22">
        <v>0</v>
      </c>
      <c r="AW22">
        <v>2</v>
      </c>
      <c r="AX22">
        <v>71714048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f>ROUND(Y22*Source!I32*DO22,9)</f>
        <v>0</v>
      </c>
      <c r="CX22">
        <f>ROUND(Y22*Source!I32,9)</f>
        <v>3.8625E-2</v>
      </c>
      <c r="CY22">
        <f>AB22</f>
        <v>1017.61</v>
      </c>
      <c r="CZ22">
        <f>AF22</f>
        <v>109.42</v>
      </c>
      <c r="DA22">
        <f>AJ22</f>
        <v>9.3000000000000007</v>
      </c>
      <c r="DB22">
        <f t="shared" si="1"/>
        <v>112.7</v>
      </c>
      <c r="DC22">
        <f t="shared" si="2"/>
        <v>12.04</v>
      </c>
      <c r="DD22" t="s">
        <v>3</v>
      </c>
      <c r="DE22" t="s">
        <v>3</v>
      </c>
      <c r="DF22">
        <f t="shared" si="6"/>
        <v>0</v>
      </c>
      <c r="DG22">
        <f>ROUND(ROUND(AF22*AJ22,0)*CX22,0)</f>
        <v>39</v>
      </c>
      <c r="DH22">
        <f>Source!I32*SmtRes!Y22</f>
        <v>3.8625E-2</v>
      </c>
      <c r="DI22">
        <f>AB22</f>
        <v>1017.61</v>
      </c>
      <c r="DJ22">
        <f>EtalonRes!Z22</f>
        <v>109.42</v>
      </c>
      <c r="DK22">
        <f>Source!BB32</f>
        <v>9.3000000000000007</v>
      </c>
      <c r="DL22" t="s">
        <v>3</v>
      </c>
      <c r="DM22">
        <v>0</v>
      </c>
      <c r="DN22" t="s">
        <v>3</v>
      </c>
      <c r="DO22">
        <v>0</v>
      </c>
      <c r="GQ22">
        <v>-1</v>
      </c>
      <c r="GR22">
        <v>-1</v>
      </c>
    </row>
    <row r="23" spans="1:200" x14ac:dyDescent="0.2">
      <c r="A23">
        <f>ROW(Source!A32)</f>
        <v>32</v>
      </c>
      <c r="B23">
        <v>71570244</v>
      </c>
      <c r="C23">
        <v>71714038</v>
      </c>
      <c r="D23">
        <v>27372027</v>
      </c>
      <c r="E23">
        <v>1</v>
      </c>
      <c r="F23">
        <v>1</v>
      </c>
      <c r="G23">
        <v>1</v>
      </c>
      <c r="H23">
        <v>3</v>
      </c>
      <c r="I23" t="s">
        <v>31</v>
      </c>
      <c r="J23" t="s">
        <v>50</v>
      </c>
      <c r="K23" t="s">
        <v>32</v>
      </c>
      <c r="L23">
        <v>1348</v>
      </c>
      <c r="N23">
        <v>1009</v>
      </c>
      <c r="O23" t="s">
        <v>33</v>
      </c>
      <c r="P23" t="s">
        <v>33</v>
      </c>
      <c r="Q23">
        <v>1000</v>
      </c>
      <c r="W23">
        <v>0</v>
      </c>
      <c r="X23">
        <v>698560581</v>
      </c>
      <c r="Y23">
        <f t="shared" si="0"/>
        <v>8.0000000000000004E-4</v>
      </c>
      <c r="AA23">
        <v>40650</v>
      </c>
      <c r="AB23">
        <v>0</v>
      </c>
      <c r="AC23">
        <v>0</v>
      </c>
      <c r="AD23">
        <v>0</v>
      </c>
      <c r="AE23">
        <v>5376.98</v>
      </c>
      <c r="AF23">
        <v>0</v>
      </c>
      <c r="AG23">
        <v>0</v>
      </c>
      <c r="AH23">
        <v>0</v>
      </c>
      <c r="AI23">
        <v>7.56</v>
      </c>
      <c r="AJ23">
        <v>1</v>
      </c>
      <c r="AK23">
        <v>1</v>
      </c>
      <c r="AL23">
        <v>1</v>
      </c>
      <c r="AM23">
        <v>5</v>
      </c>
      <c r="AN23">
        <v>0</v>
      </c>
      <c r="AO23">
        <v>0</v>
      </c>
      <c r="AP23">
        <v>1</v>
      </c>
      <c r="AQ23">
        <v>0</v>
      </c>
      <c r="AR23">
        <v>0</v>
      </c>
      <c r="AS23" t="s">
        <v>3</v>
      </c>
      <c r="AT23">
        <v>8.0000000000000004E-4</v>
      </c>
      <c r="AU23" t="s">
        <v>3</v>
      </c>
      <c r="AV23">
        <v>0</v>
      </c>
      <c r="AW23">
        <v>2</v>
      </c>
      <c r="AX23">
        <v>71714049</v>
      </c>
      <c r="AY23">
        <v>1</v>
      </c>
      <c r="AZ23">
        <v>16384</v>
      </c>
      <c r="BA23">
        <v>23</v>
      </c>
      <c r="BB23">
        <v>3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>
        <f>ROUND(Y23*Source!I32,9)</f>
        <v>3.0000000000000001E-5</v>
      </c>
      <c r="CY23">
        <f>AA23</f>
        <v>40650</v>
      </c>
      <c r="CZ23">
        <f>AE23</f>
        <v>5376.98</v>
      </c>
      <c r="DA23">
        <f>AI23</f>
        <v>7.56</v>
      </c>
      <c r="DB23">
        <f t="shared" si="1"/>
        <v>4.3</v>
      </c>
      <c r="DC23">
        <f t="shared" si="2"/>
        <v>0</v>
      </c>
      <c r="DD23" t="s">
        <v>3</v>
      </c>
      <c r="DE23" t="s">
        <v>3</v>
      </c>
      <c r="DF23">
        <f>ROUND(ROUND(AE23*AI23,0)*CX23,0)</f>
        <v>1</v>
      </c>
      <c r="DG23">
        <f t="shared" ref="DG23:DG36" si="7">ROUND(ROUND(AF23,0)*CX23,0)</f>
        <v>0</v>
      </c>
      <c r="DH23">
        <f>Source!I32*SmtRes!Y23</f>
        <v>3.0000000000000001E-5</v>
      </c>
      <c r="DI23">
        <f>AA23</f>
        <v>40650</v>
      </c>
      <c r="DJ23">
        <f>EtalonRes!Y23</f>
        <v>40650</v>
      </c>
      <c r="DK23">
        <f>Source!BC32</f>
        <v>7.56</v>
      </c>
      <c r="DL23" t="s">
        <v>3</v>
      </c>
      <c r="DM23">
        <v>0</v>
      </c>
      <c r="DN23" t="s">
        <v>3</v>
      </c>
      <c r="DO23">
        <v>0</v>
      </c>
      <c r="GP23">
        <v>1</v>
      </c>
      <c r="GQ23">
        <v>-1</v>
      </c>
      <c r="GR23">
        <v>-1</v>
      </c>
    </row>
    <row r="24" spans="1:200" x14ac:dyDescent="0.2">
      <c r="A24">
        <f>ROW(Source!A32)</f>
        <v>32</v>
      </c>
      <c r="B24">
        <v>71570244</v>
      </c>
      <c r="C24">
        <v>71714038</v>
      </c>
      <c r="D24">
        <v>27387240</v>
      </c>
      <c r="E24">
        <v>1</v>
      </c>
      <c r="F24">
        <v>1</v>
      </c>
      <c r="G24">
        <v>1</v>
      </c>
      <c r="H24">
        <v>3</v>
      </c>
      <c r="I24" t="s">
        <v>42</v>
      </c>
      <c r="J24" t="s">
        <v>55</v>
      </c>
      <c r="K24" t="s">
        <v>54</v>
      </c>
      <c r="L24">
        <v>1348</v>
      </c>
      <c r="N24">
        <v>1009</v>
      </c>
      <c r="O24" t="s">
        <v>33</v>
      </c>
      <c r="P24" t="s">
        <v>33</v>
      </c>
      <c r="Q24">
        <v>1000</v>
      </c>
      <c r="W24">
        <v>0</v>
      </c>
      <c r="X24">
        <v>920915124</v>
      </c>
      <c r="Y24">
        <f t="shared" si="0"/>
        <v>0.16800000000000001</v>
      </c>
      <c r="AA24">
        <v>165540</v>
      </c>
      <c r="AB24">
        <v>0</v>
      </c>
      <c r="AC24">
        <v>0</v>
      </c>
      <c r="AD24">
        <v>0</v>
      </c>
      <c r="AE24">
        <v>21896.83</v>
      </c>
      <c r="AF24">
        <v>0</v>
      </c>
      <c r="AG24">
        <v>0</v>
      </c>
      <c r="AH24">
        <v>0</v>
      </c>
      <c r="AI24">
        <v>7.56</v>
      </c>
      <c r="AJ24">
        <v>1</v>
      </c>
      <c r="AK24">
        <v>1</v>
      </c>
      <c r="AL24">
        <v>1</v>
      </c>
      <c r="AM24">
        <v>5</v>
      </c>
      <c r="AN24">
        <v>0</v>
      </c>
      <c r="AO24">
        <v>0</v>
      </c>
      <c r="AP24">
        <v>1</v>
      </c>
      <c r="AQ24">
        <v>0</v>
      </c>
      <c r="AR24">
        <v>0</v>
      </c>
      <c r="AS24" t="s">
        <v>3</v>
      </c>
      <c r="AT24">
        <v>0.16800000000000001</v>
      </c>
      <c r="AU24" t="s">
        <v>3</v>
      </c>
      <c r="AV24">
        <v>0</v>
      </c>
      <c r="AW24">
        <v>2</v>
      </c>
      <c r="AX24">
        <v>71714050</v>
      </c>
      <c r="AY24">
        <v>1</v>
      </c>
      <c r="AZ24">
        <v>16384</v>
      </c>
      <c r="BA24">
        <v>24</v>
      </c>
      <c r="BB24">
        <v>3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ROUND(Y24*Source!I32,9)</f>
        <v>6.3E-3</v>
      </c>
      <c r="CY24">
        <f>AA24</f>
        <v>165540</v>
      </c>
      <c r="CZ24">
        <f>AE24</f>
        <v>21896.83</v>
      </c>
      <c r="DA24">
        <f>AI24</f>
        <v>7.56</v>
      </c>
      <c r="DB24">
        <f t="shared" si="1"/>
        <v>3678.67</v>
      </c>
      <c r="DC24">
        <f t="shared" si="2"/>
        <v>0</v>
      </c>
      <c r="DD24" t="s">
        <v>3</v>
      </c>
      <c r="DE24" t="s">
        <v>3</v>
      </c>
      <c r="DF24">
        <f>ROUND(ROUND(AE24*AI24,0)*CX24,0)</f>
        <v>1043</v>
      </c>
      <c r="DG24">
        <f t="shared" si="7"/>
        <v>0</v>
      </c>
      <c r="DH24">
        <f>Source!I32*SmtRes!Y24</f>
        <v>6.3E-3</v>
      </c>
      <c r="DI24">
        <f>AA24</f>
        <v>165540</v>
      </c>
      <c r="DJ24">
        <f>EtalonRes!Y24</f>
        <v>24950</v>
      </c>
      <c r="DK24">
        <f>Source!BC32</f>
        <v>7.56</v>
      </c>
      <c r="DL24" t="s">
        <v>3</v>
      </c>
      <c r="DM24">
        <v>0</v>
      </c>
      <c r="DN24" t="s">
        <v>3</v>
      </c>
      <c r="DO24">
        <v>0</v>
      </c>
      <c r="GP24">
        <v>1</v>
      </c>
      <c r="GQ24">
        <v>-1</v>
      </c>
      <c r="GR24">
        <v>-1</v>
      </c>
    </row>
    <row r="25" spans="1:200" x14ac:dyDescent="0.2">
      <c r="A25">
        <f>ROW(Source!A37)</f>
        <v>37</v>
      </c>
      <c r="B25">
        <v>71570243</v>
      </c>
      <c r="C25">
        <v>71570324</v>
      </c>
      <c r="D25">
        <v>27494941</v>
      </c>
      <c r="E25">
        <v>1</v>
      </c>
      <c r="F25">
        <v>1</v>
      </c>
      <c r="G25">
        <v>1</v>
      </c>
      <c r="H25">
        <v>1</v>
      </c>
      <c r="I25" t="s">
        <v>235</v>
      </c>
      <c r="J25" t="s">
        <v>3</v>
      </c>
      <c r="K25" t="s">
        <v>236</v>
      </c>
      <c r="L25">
        <v>1369</v>
      </c>
      <c r="N25">
        <v>1013</v>
      </c>
      <c r="O25" t="s">
        <v>225</v>
      </c>
      <c r="P25" t="s">
        <v>225</v>
      </c>
      <c r="Q25">
        <v>1</v>
      </c>
      <c r="W25">
        <v>0</v>
      </c>
      <c r="X25">
        <v>125517987</v>
      </c>
      <c r="Y25">
        <f t="shared" si="0"/>
        <v>407.37</v>
      </c>
      <c r="AA25">
        <v>0</v>
      </c>
      <c r="AB25">
        <v>0</v>
      </c>
      <c r="AC25">
        <v>0</v>
      </c>
      <c r="AD25">
        <v>8.5299999999999994</v>
      </c>
      <c r="AE25">
        <v>0</v>
      </c>
      <c r="AF25">
        <v>0</v>
      </c>
      <c r="AG25">
        <v>0</v>
      </c>
      <c r="AH25">
        <v>8.5299999999999994</v>
      </c>
      <c r="AI25">
        <v>1</v>
      </c>
      <c r="AJ25">
        <v>1</v>
      </c>
      <c r="AK25">
        <v>1</v>
      </c>
      <c r="AL25">
        <v>1</v>
      </c>
      <c r="AM25">
        <v>0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407.37</v>
      </c>
      <c r="AU25" t="s">
        <v>3</v>
      </c>
      <c r="AV25">
        <v>1</v>
      </c>
      <c r="AW25">
        <v>2</v>
      </c>
      <c r="AX25">
        <v>71570335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U25">
        <f>ROUND(AT25*Source!I37*AH25*AL25,0)</f>
        <v>57</v>
      </c>
      <c r="CV25">
        <f>ROUND(Y25*Source!I37,9)</f>
        <v>6.6808680000000003</v>
      </c>
      <c r="CW25">
        <v>0</v>
      </c>
      <c r="CX25">
        <f>ROUND(Y25*Source!I37,9)</f>
        <v>6.6808680000000003</v>
      </c>
      <c r="CY25">
        <f>AD25</f>
        <v>8.5299999999999994</v>
      </c>
      <c r="CZ25">
        <f>AH25</f>
        <v>8.5299999999999994</v>
      </c>
      <c r="DA25">
        <f>AL25</f>
        <v>1</v>
      </c>
      <c r="DB25">
        <f t="shared" si="1"/>
        <v>3474.87</v>
      </c>
      <c r="DC25">
        <f t="shared" si="2"/>
        <v>0</v>
      </c>
      <c r="DD25" t="s">
        <v>3</v>
      </c>
      <c r="DE25" t="s">
        <v>3</v>
      </c>
      <c r="DF25">
        <f t="shared" ref="DF25:DF40" si="8">ROUND(ROUND(AE25,0)*CX25,0)</f>
        <v>0</v>
      </c>
      <c r="DG25">
        <f t="shared" si="7"/>
        <v>0</v>
      </c>
      <c r="DH25">
        <f>Source!I37*SmtRes!Y25</f>
        <v>6.6808680000000003</v>
      </c>
      <c r="DI25">
        <f>AD25</f>
        <v>8.5299999999999994</v>
      </c>
      <c r="DJ25">
        <f>EtalonRes!AB25</f>
        <v>8.5299999999999994</v>
      </c>
      <c r="DK25">
        <f>Source!BA37</f>
        <v>1</v>
      </c>
      <c r="DL25" t="s">
        <v>3</v>
      </c>
      <c r="DM25">
        <v>0</v>
      </c>
      <c r="DN25" t="s">
        <v>3</v>
      </c>
      <c r="DO25">
        <v>0</v>
      </c>
      <c r="GQ25">
        <v>-1</v>
      </c>
      <c r="GR25">
        <v>-1</v>
      </c>
    </row>
    <row r="26" spans="1:200" x14ac:dyDescent="0.2">
      <c r="A26">
        <f>ROW(Source!A37)</f>
        <v>37</v>
      </c>
      <c r="B26">
        <v>71570243</v>
      </c>
      <c r="C26">
        <v>71570324</v>
      </c>
      <c r="D26">
        <v>121548</v>
      </c>
      <c r="E26">
        <v>1</v>
      </c>
      <c r="F26">
        <v>1</v>
      </c>
      <c r="G26">
        <v>1</v>
      </c>
      <c r="H26">
        <v>1</v>
      </c>
      <c r="I26" t="s">
        <v>40</v>
      </c>
      <c r="J26" t="s">
        <v>3</v>
      </c>
      <c r="K26" t="s">
        <v>226</v>
      </c>
      <c r="L26">
        <v>608254</v>
      </c>
      <c r="N26">
        <v>1013</v>
      </c>
      <c r="O26" t="s">
        <v>227</v>
      </c>
      <c r="P26" t="s">
        <v>227</v>
      </c>
      <c r="Q26">
        <v>1</v>
      </c>
      <c r="W26">
        <v>0</v>
      </c>
      <c r="X26">
        <v>-185737400</v>
      </c>
      <c r="Y26">
        <f t="shared" si="0"/>
        <v>39.700000000000003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0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39.700000000000003</v>
      </c>
      <c r="AU26" t="s">
        <v>3</v>
      </c>
      <c r="AV26">
        <v>2</v>
      </c>
      <c r="AW26">
        <v>2</v>
      </c>
      <c r="AX26">
        <v>71570336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v>0</v>
      </c>
      <c r="CX26">
        <f>ROUND(Y26*Source!I37,9)</f>
        <v>0.65107999999999999</v>
      </c>
      <c r="CY26">
        <f>AD26</f>
        <v>0</v>
      </c>
      <c r="CZ26">
        <f>AH26</f>
        <v>0</v>
      </c>
      <c r="DA26">
        <f>AL26</f>
        <v>1</v>
      </c>
      <c r="DB26">
        <f t="shared" si="1"/>
        <v>0</v>
      </c>
      <c r="DC26">
        <f t="shared" si="2"/>
        <v>0</v>
      </c>
      <c r="DD26" t="s">
        <v>3</v>
      </c>
      <c r="DE26" t="s">
        <v>3</v>
      </c>
      <c r="DF26">
        <f t="shared" si="8"/>
        <v>0</v>
      </c>
      <c r="DG26">
        <f t="shared" si="7"/>
        <v>0</v>
      </c>
      <c r="DH26">
        <f>Source!I37*SmtRes!Y26</f>
        <v>0.6510800000000001</v>
      </c>
      <c r="DI26">
        <f>AD26</f>
        <v>0</v>
      </c>
      <c r="DJ26">
        <f>EtalonRes!AB26</f>
        <v>0</v>
      </c>
      <c r="DK26">
        <f>Source!BA37</f>
        <v>1</v>
      </c>
      <c r="DL26" t="s">
        <v>3</v>
      </c>
      <c r="DM26">
        <v>0</v>
      </c>
      <c r="DN26" t="s">
        <v>3</v>
      </c>
      <c r="DO26">
        <v>0</v>
      </c>
      <c r="GQ26">
        <v>-1</v>
      </c>
      <c r="GR26">
        <v>-1</v>
      </c>
    </row>
    <row r="27" spans="1:200" x14ac:dyDescent="0.2">
      <c r="A27">
        <f>ROW(Source!A37)</f>
        <v>37</v>
      </c>
      <c r="B27">
        <v>71570243</v>
      </c>
      <c r="C27">
        <v>71570324</v>
      </c>
      <c r="D27">
        <v>27439499</v>
      </c>
      <c r="E27">
        <v>1</v>
      </c>
      <c r="F27">
        <v>1</v>
      </c>
      <c r="G27">
        <v>1</v>
      </c>
      <c r="H27">
        <v>2</v>
      </c>
      <c r="I27" t="s">
        <v>237</v>
      </c>
      <c r="J27" t="s">
        <v>238</v>
      </c>
      <c r="K27" t="s">
        <v>239</v>
      </c>
      <c r="L27">
        <v>1368</v>
      </c>
      <c r="N27">
        <v>1011</v>
      </c>
      <c r="O27" t="s">
        <v>231</v>
      </c>
      <c r="P27" t="s">
        <v>231</v>
      </c>
      <c r="Q27">
        <v>1</v>
      </c>
      <c r="W27">
        <v>0</v>
      </c>
      <c r="X27">
        <v>1890856440</v>
      </c>
      <c r="Y27">
        <f t="shared" si="0"/>
        <v>26.82</v>
      </c>
      <c r="AA27">
        <v>0</v>
      </c>
      <c r="AB27">
        <v>112.67</v>
      </c>
      <c r="AC27">
        <v>13.61</v>
      </c>
      <c r="AD27">
        <v>0</v>
      </c>
      <c r="AE27">
        <v>0</v>
      </c>
      <c r="AF27">
        <v>112.67</v>
      </c>
      <c r="AG27">
        <v>13.61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0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26.82</v>
      </c>
      <c r="AU27" t="s">
        <v>3</v>
      </c>
      <c r="AV27">
        <v>0</v>
      </c>
      <c r="AW27">
        <v>2</v>
      </c>
      <c r="AX27">
        <v>71570337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V27">
        <v>0</v>
      </c>
      <c r="CW27">
        <f>ROUND(Y27*Source!I37*DO27,9)</f>
        <v>0</v>
      </c>
      <c r="CX27">
        <f>ROUND(Y27*Source!I37,9)</f>
        <v>0.43984800000000002</v>
      </c>
      <c r="CY27">
        <f>AB27</f>
        <v>112.67</v>
      </c>
      <c r="CZ27">
        <f>AF27</f>
        <v>112.67</v>
      </c>
      <c r="DA27">
        <f>AJ27</f>
        <v>1</v>
      </c>
      <c r="DB27">
        <f t="shared" si="1"/>
        <v>3021.81</v>
      </c>
      <c r="DC27">
        <f t="shared" si="2"/>
        <v>365.02</v>
      </c>
      <c r="DD27" t="s">
        <v>3</v>
      </c>
      <c r="DE27" t="s">
        <v>3</v>
      </c>
      <c r="DF27">
        <f t="shared" si="8"/>
        <v>0</v>
      </c>
      <c r="DG27">
        <f t="shared" si="7"/>
        <v>50</v>
      </c>
      <c r="DH27">
        <f>Source!I37*SmtRes!Y27</f>
        <v>0.43984800000000002</v>
      </c>
      <c r="DI27">
        <f>AB27</f>
        <v>112.67</v>
      </c>
      <c r="DJ27">
        <f>EtalonRes!Z27</f>
        <v>112.67</v>
      </c>
      <c r="DK27">
        <f>Source!BB37</f>
        <v>1</v>
      </c>
      <c r="DL27" t="s">
        <v>3</v>
      </c>
      <c r="DM27">
        <v>0</v>
      </c>
      <c r="DN27" t="s">
        <v>3</v>
      </c>
      <c r="DO27">
        <v>0</v>
      </c>
      <c r="GQ27">
        <v>-1</v>
      </c>
      <c r="GR27">
        <v>-1</v>
      </c>
    </row>
    <row r="28" spans="1:200" x14ac:dyDescent="0.2">
      <c r="A28">
        <f>ROW(Source!A37)</f>
        <v>37</v>
      </c>
      <c r="B28">
        <v>71570243</v>
      </c>
      <c r="C28">
        <v>71570324</v>
      </c>
      <c r="D28">
        <v>27439571</v>
      </c>
      <c r="E28">
        <v>1</v>
      </c>
      <c r="F28">
        <v>1</v>
      </c>
      <c r="G28">
        <v>1</v>
      </c>
      <c r="H28">
        <v>2</v>
      </c>
      <c r="I28" t="s">
        <v>240</v>
      </c>
      <c r="J28" t="s">
        <v>241</v>
      </c>
      <c r="K28" t="s">
        <v>242</v>
      </c>
      <c r="L28">
        <v>1368</v>
      </c>
      <c r="N28">
        <v>1011</v>
      </c>
      <c r="O28" t="s">
        <v>231</v>
      </c>
      <c r="P28" t="s">
        <v>231</v>
      </c>
      <c r="Q28">
        <v>1</v>
      </c>
      <c r="W28">
        <v>0</v>
      </c>
      <c r="X28">
        <v>1462286705</v>
      </c>
      <c r="Y28">
        <f t="shared" si="0"/>
        <v>1.05</v>
      </c>
      <c r="AA28">
        <v>0</v>
      </c>
      <c r="AB28">
        <v>88.42</v>
      </c>
      <c r="AC28">
        <v>10.14</v>
      </c>
      <c r="AD28">
        <v>0</v>
      </c>
      <c r="AE28">
        <v>0</v>
      </c>
      <c r="AF28">
        <v>88.42</v>
      </c>
      <c r="AG28">
        <v>10.14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0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1.05</v>
      </c>
      <c r="AU28" t="s">
        <v>3</v>
      </c>
      <c r="AV28">
        <v>0</v>
      </c>
      <c r="AW28">
        <v>2</v>
      </c>
      <c r="AX28">
        <v>71570338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f>ROUND(Y28*Source!I37*DO28,9)</f>
        <v>0</v>
      </c>
      <c r="CX28">
        <f>ROUND(Y28*Source!I37,9)</f>
        <v>1.7219999999999999E-2</v>
      </c>
      <c r="CY28">
        <f>AB28</f>
        <v>88.42</v>
      </c>
      <c r="CZ28">
        <f>AF28</f>
        <v>88.42</v>
      </c>
      <c r="DA28">
        <f>AJ28</f>
        <v>1</v>
      </c>
      <c r="DB28">
        <f t="shared" si="1"/>
        <v>92.84</v>
      </c>
      <c r="DC28">
        <f t="shared" si="2"/>
        <v>10.65</v>
      </c>
      <c r="DD28" t="s">
        <v>3</v>
      </c>
      <c r="DE28" t="s">
        <v>3</v>
      </c>
      <c r="DF28">
        <f t="shared" si="8"/>
        <v>0</v>
      </c>
      <c r="DG28">
        <f t="shared" si="7"/>
        <v>2</v>
      </c>
      <c r="DH28">
        <f>Source!I37*SmtRes!Y28</f>
        <v>1.7220000000000003E-2</v>
      </c>
      <c r="DI28">
        <f>AB28</f>
        <v>88.42</v>
      </c>
      <c r="DJ28">
        <f>EtalonRes!Z28</f>
        <v>88.42</v>
      </c>
      <c r="DK28">
        <f>Source!BB37</f>
        <v>1</v>
      </c>
      <c r="DL28" t="s">
        <v>3</v>
      </c>
      <c r="DM28">
        <v>0</v>
      </c>
      <c r="DN28" t="s">
        <v>3</v>
      </c>
      <c r="DO28">
        <v>0</v>
      </c>
      <c r="GQ28">
        <v>-1</v>
      </c>
      <c r="GR28">
        <v>-1</v>
      </c>
    </row>
    <row r="29" spans="1:200" x14ac:dyDescent="0.2">
      <c r="A29">
        <f>ROW(Source!A37)</f>
        <v>37</v>
      </c>
      <c r="B29">
        <v>71570243</v>
      </c>
      <c r="C29">
        <v>71570324</v>
      </c>
      <c r="D29">
        <v>27440482</v>
      </c>
      <c r="E29">
        <v>1</v>
      </c>
      <c r="F29">
        <v>1</v>
      </c>
      <c r="G29">
        <v>1</v>
      </c>
      <c r="H29">
        <v>2</v>
      </c>
      <c r="I29" t="s">
        <v>243</v>
      </c>
      <c r="J29" t="s">
        <v>244</v>
      </c>
      <c r="K29" t="s">
        <v>245</v>
      </c>
      <c r="L29">
        <v>1368</v>
      </c>
      <c r="N29">
        <v>1011</v>
      </c>
      <c r="O29" t="s">
        <v>231</v>
      </c>
      <c r="P29" t="s">
        <v>231</v>
      </c>
      <c r="Q29">
        <v>1</v>
      </c>
      <c r="W29">
        <v>0</v>
      </c>
      <c r="X29">
        <v>-764752255</v>
      </c>
      <c r="Y29">
        <f t="shared" si="0"/>
        <v>11.83</v>
      </c>
      <c r="AA29">
        <v>0</v>
      </c>
      <c r="AB29">
        <v>135.22</v>
      </c>
      <c r="AC29">
        <v>11.69</v>
      </c>
      <c r="AD29">
        <v>0</v>
      </c>
      <c r="AE29">
        <v>0</v>
      </c>
      <c r="AF29">
        <v>135.22</v>
      </c>
      <c r="AG29">
        <v>11.69</v>
      </c>
      <c r="AH29">
        <v>0</v>
      </c>
      <c r="AI29">
        <v>1</v>
      </c>
      <c r="AJ29">
        <v>1</v>
      </c>
      <c r="AK29">
        <v>1</v>
      </c>
      <c r="AL29">
        <v>1</v>
      </c>
      <c r="AM29">
        <v>0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11.83</v>
      </c>
      <c r="AU29" t="s">
        <v>3</v>
      </c>
      <c r="AV29">
        <v>0</v>
      </c>
      <c r="AW29">
        <v>2</v>
      </c>
      <c r="AX29">
        <v>71570339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V29">
        <v>0</v>
      </c>
      <c r="CW29">
        <f>ROUND(Y29*Source!I37*DO29,9)</f>
        <v>0</v>
      </c>
      <c r="CX29">
        <f>ROUND(Y29*Source!I37,9)</f>
        <v>0.19401199999999999</v>
      </c>
      <c r="CY29">
        <f>AB29</f>
        <v>135.22</v>
      </c>
      <c r="CZ29">
        <f>AF29</f>
        <v>135.22</v>
      </c>
      <c r="DA29">
        <f>AJ29</f>
        <v>1</v>
      </c>
      <c r="DB29">
        <f t="shared" si="1"/>
        <v>1599.65</v>
      </c>
      <c r="DC29">
        <f t="shared" si="2"/>
        <v>138.29</v>
      </c>
      <c r="DD29" t="s">
        <v>3</v>
      </c>
      <c r="DE29" t="s">
        <v>3</v>
      </c>
      <c r="DF29">
        <f t="shared" si="8"/>
        <v>0</v>
      </c>
      <c r="DG29">
        <f t="shared" si="7"/>
        <v>26</v>
      </c>
      <c r="DH29">
        <f>Source!I37*SmtRes!Y29</f>
        <v>0.19401200000000002</v>
      </c>
      <c r="DI29">
        <f>AB29</f>
        <v>135.22</v>
      </c>
      <c r="DJ29">
        <f>EtalonRes!Z29</f>
        <v>135.22</v>
      </c>
      <c r="DK29">
        <f>Source!BB37</f>
        <v>1</v>
      </c>
      <c r="DL29" t="s">
        <v>3</v>
      </c>
      <c r="DM29">
        <v>0</v>
      </c>
      <c r="DN29" t="s">
        <v>3</v>
      </c>
      <c r="DO29">
        <v>0</v>
      </c>
      <c r="GQ29">
        <v>-1</v>
      </c>
      <c r="GR29">
        <v>-1</v>
      </c>
    </row>
    <row r="30" spans="1:200" x14ac:dyDescent="0.2">
      <c r="A30">
        <f>ROW(Source!A37)</f>
        <v>37</v>
      </c>
      <c r="B30">
        <v>71570243</v>
      </c>
      <c r="C30">
        <v>71570324</v>
      </c>
      <c r="D30">
        <v>27441327</v>
      </c>
      <c r="E30">
        <v>1</v>
      </c>
      <c r="F30">
        <v>1</v>
      </c>
      <c r="G30">
        <v>1</v>
      </c>
      <c r="H30">
        <v>2</v>
      </c>
      <c r="I30" t="s">
        <v>246</v>
      </c>
      <c r="J30" t="s">
        <v>247</v>
      </c>
      <c r="K30" t="s">
        <v>248</v>
      </c>
      <c r="L30">
        <v>1368</v>
      </c>
      <c r="N30">
        <v>1011</v>
      </c>
      <c r="O30" t="s">
        <v>231</v>
      </c>
      <c r="P30" t="s">
        <v>231</v>
      </c>
      <c r="Q30">
        <v>1</v>
      </c>
      <c r="W30">
        <v>0</v>
      </c>
      <c r="X30">
        <v>-1583389094</v>
      </c>
      <c r="Y30">
        <f t="shared" si="0"/>
        <v>4.12</v>
      </c>
      <c r="AA30">
        <v>0</v>
      </c>
      <c r="AB30">
        <v>93.37</v>
      </c>
      <c r="AC30">
        <v>11.69</v>
      </c>
      <c r="AD30">
        <v>0</v>
      </c>
      <c r="AE30">
        <v>0</v>
      </c>
      <c r="AF30">
        <v>93.37</v>
      </c>
      <c r="AG30">
        <v>11.69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0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4.12</v>
      </c>
      <c r="AU30" t="s">
        <v>3</v>
      </c>
      <c r="AV30">
        <v>0</v>
      </c>
      <c r="AW30">
        <v>2</v>
      </c>
      <c r="AX30">
        <v>71570340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f>ROUND(Y30*Source!I37*DO30,9)</f>
        <v>0</v>
      </c>
      <c r="CX30">
        <f>ROUND(Y30*Source!I37,9)</f>
        <v>6.7568000000000003E-2</v>
      </c>
      <c r="CY30">
        <f>AB30</f>
        <v>93.37</v>
      </c>
      <c r="CZ30">
        <f>AF30</f>
        <v>93.37</v>
      </c>
      <c r="DA30">
        <f>AJ30</f>
        <v>1</v>
      </c>
      <c r="DB30">
        <f t="shared" si="1"/>
        <v>384.68</v>
      </c>
      <c r="DC30">
        <f t="shared" si="2"/>
        <v>48.16</v>
      </c>
      <c r="DD30" t="s">
        <v>3</v>
      </c>
      <c r="DE30" t="s">
        <v>3</v>
      </c>
      <c r="DF30">
        <f t="shared" si="8"/>
        <v>0</v>
      </c>
      <c r="DG30">
        <f t="shared" si="7"/>
        <v>6</v>
      </c>
      <c r="DH30">
        <f>Source!I37*SmtRes!Y30</f>
        <v>6.7568000000000003E-2</v>
      </c>
      <c r="DI30">
        <f>AB30</f>
        <v>93.37</v>
      </c>
      <c r="DJ30">
        <f>EtalonRes!Z30</f>
        <v>93.37</v>
      </c>
      <c r="DK30">
        <f>Source!BB37</f>
        <v>1</v>
      </c>
      <c r="DL30" t="s">
        <v>3</v>
      </c>
      <c r="DM30">
        <v>0</v>
      </c>
      <c r="DN30" t="s">
        <v>3</v>
      </c>
      <c r="DO30">
        <v>0</v>
      </c>
      <c r="GQ30">
        <v>-1</v>
      </c>
      <c r="GR30">
        <v>-1</v>
      </c>
    </row>
    <row r="31" spans="1:200" x14ac:dyDescent="0.2">
      <c r="A31">
        <f>ROW(Source!A37)</f>
        <v>37</v>
      </c>
      <c r="B31">
        <v>71570243</v>
      </c>
      <c r="C31">
        <v>71570324</v>
      </c>
      <c r="D31">
        <v>27374309</v>
      </c>
      <c r="E31">
        <v>1</v>
      </c>
      <c r="F31">
        <v>1</v>
      </c>
      <c r="G31">
        <v>1</v>
      </c>
      <c r="H31">
        <v>3</v>
      </c>
      <c r="I31" t="s">
        <v>62</v>
      </c>
      <c r="J31" t="s">
        <v>64</v>
      </c>
      <c r="K31" t="s">
        <v>63</v>
      </c>
      <c r="L31">
        <v>1348</v>
      </c>
      <c r="N31">
        <v>1009</v>
      </c>
      <c r="O31" t="s">
        <v>33</v>
      </c>
      <c r="P31" t="s">
        <v>33</v>
      </c>
      <c r="Q31">
        <v>1000</v>
      </c>
      <c r="W31">
        <v>0</v>
      </c>
      <c r="X31">
        <v>1831784314</v>
      </c>
      <c r="Y31">
        <f t="shared" si="0"/>
        <v>9.3999999999999997E-4</v>
      </c>
      <c r="AA31">
        <v>15801.24</v>
      </c>
      <c r="AB31">
        <v>0</v>
      </c>
      <c r="AC31">
        <v>0</v>
      </c>
      <c r="AD31">
        <v>0</v>
      </c>
      <c r="AE31">
        <v>15801.24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 t="s">
        <v>3</v>
      </c>
      <c r="AT31">
        <v>9.3999999999999997E-4</v>
      </c>
      <c r="AU31" t="s">
        <v>3</v>
      </c>
      <c r="AV31">
        <v>0</v>
      </c>
      <c r="AW31">
        <v>1</v>
      </c>
      <c r="AX31">
        <v>-1</v>
      </c>
      <c r="AY31">
        <v>0</v>
      </c>
      <c r="AZ31">
        <v>0</v>
      </c>
      <c r="BA31" t="s">
        <v>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ROUND(Y31*Source!I37,9)</f>
        <v>1.5415999999999999E-5</v>
      </c>
      <c r="CY31">
        <f>AA31</f>
        <v>15801.24</v>
      </c>
      <c r="CZ31">
        <f>AE31</f>
        <v>15801.24</v>
      </c>
      <c r="DA31">
        <f>AI31</f>
        <v>1</v>
      </c>
      <c r="DB31">
        <f t="shared" si="1"/>
        <v>14.85</v>
      </c>
      <c r="DC31">
        <f t="shared" si="2"/>
        <v>0</v>
      </c>
      <c r="DD31" t="s">
        <v>3</v>
      </c>
      <c r="DE31" t="s">
        <v>3</v>
      </c>
      <c r="DF31">
        <f t="shared" si="8"/>
        <v>0</v>
      </c>
      <c r="DG31">
        <f t="shared" si="7"/>
        <v>0</v>
      </c>
      <c r="DH31">
        <f>Source!I37*SmtRes!Y31</f>
        <v>1.5415999999999999E-5</v>
      </c>
      <c r="DI31">
        <f>AA31</f>
        <v>15801.24</v>
      </c>
      <c r="DJ31">
        <f>DF31</f>
        <v>0</v>
      </c>
      <c r="DK31">
        <f>Source!BC37</f>
        <v>1</v>
      </c>
      <c r="DL31" t="s">
        <v>3</v>
      </c>
      <c r="DM31">
        <v>0</v>
      </c>
      <c r="DN31" t="s">
        <v>3</v>
      </c>
      <c r="DO31">
        <v>0</v>
      </c>
      <c r="GP31">
        <v>1</v>
      </c>
      <c r="GQ31">
        <v>-1</v>
      </c>
      <c r="GR31">
        <v>-1</v>
      </c>
    </row>
    <row r="32" spans="1:200" x14ac:dyDescent="0.2">
      <c r="A32">
        <f>ROW(Source!A37)</f>
        <v>37</v>
      </c>
      <c r="B32">
        <v>71570243</v>
      </c>
      <c r="C32">
        <v>71570324</v>
      </c>
      <c r="D32">
        <v>27376023</v>
      </c>
      <c r="E32">
        <v>1</v>
      </c>
      <c r="F32">
        <v>1</v>
      </c>
      <c r="G32">
        <v>1</v>
      </c>
      <c r="H32">
        <v>3</v>
      </c>
      <c r="I32" t="s">
        <v>82</v>
      </c>
      <c r="J32" t="s">
        <v>84</v>
      </c>
      <c r="K32" t="s">
        <v>83</v>
      </c>
      <c r="L32">
        <v>1354</v>
      </c>
      <c r="N32">
        <v>1010</v>
      </c>
      <c r="O32" t="s">
        <v>69</v>
      </c>
      <c r="P32" t="s">
        <v>69</v>
      </c>
      <c r="Q32">
        <v>1</v>
      </c>
      <c r="W32">
        <v>0</v>
      </c>
      <c r="X32">
        <v>-1787222981</v>
      </c>
      <c r="Y32">
        <f t="shared" si="0"/>
        <v>121.95122000000001</v>
      </c>
      <c r="AA32">
        <v>521.52</v>
      </c>
      <c r="AB32">
        <v>0</v>
      </c>
      <c r="AC32">
        <v>0</v>
      </c>
      <c r="AD32">
        <v>0</v>
      </c>
      <c r="AE32">
        <v>521.52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 t="s">
        <v>3</v>
      </c>
      <c r="AT32">
        <v>121.95122000000001</v>
      </c>
      <c r="AU32" t="s">
        <v>3</v>
      </c>
      <c r="AV32">
        <v>0</v>
      </c>
      <c r="AW32">
        <v>1</v>
      </c>
      <c r="AX32">
        <v>-1</v>
      </c>
      <c r="AY32">
        <v>0</v>
      </c>
      <c r="AZ32">
        <v>0</v>
      </c>
      <c r="BA32" t="s">
        <v>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ROUND(Y32*Source!I37,9)</f>
        <v>2.0000000080000002</v>
      </c>
      <c r="CY32">
        <f>AA32</f>
        <v>521.52</v>
      </c>
      <c r="CZ32">
        <f>AE32</f>
        <v>521.52</v>
      </c>
      <c r="DA32">
        <f>AI32</f>
        <v>1</v>
      </c>
      <c r="DB32">
        <f t="shared" si="1"/>
        <v>63600</v>
      </c>
      <c r="DC32">
        <f t="shared" si="2"/>
        <v>0</v>
      </c>
      <c r="DD32" t="s">
        <v>3</v>
      </c>
      <c r="DE32" t="s">
        <v>3</v>
      </c>
      <c r="DF32">
        <f t="shared" si="8"/>
        <v>1044</v>
      </c>
      <c r="DG32">
        <f t="shared" si="7"/>
        <v>0</v>
      </c>
      <c r="DH32">
        <f>Source!I37*SmtRes!Y32</f>
        <v>2.0000000080000002</v>
      </c>
      <c r="DI32">
        <f>AA32</f>
        <v>521.52</v>
      </c>
      <c r="DJ32">
        <f>DF32</f>
        <v>1044</v>
      </c>
      <c r="DK32">
        <f>Source!BC37</f>
        <v>1</v>
      </c>
      <c r="DL32" t="s">
        <v>3</v>
      </c>
      <c r="DM32">
        <v>0</v>
      </c>
      <c r="DN32" t="s">
        <v>3</v>
      </c>
      <c r="DO32">
        <v>0</v>
      </c>
      <c r="GP32">
        <v>1</v>
      </c>
      <c r="GQ32">
        <v>-1</v>
      </c>
      <c r="GR32">
        <v>-1</v>
      </c>
    </row>
    <row r="33" spans="1:200" x14ac:dyDescent="0.2">
      <c r="A33">
        <f>ROW(Source!A37)</f>
        <v>37</v>
      </c>
      <c r="B33">
        <v>71570243</v>
      </c>
      <c r="C33">
        <v>71570324</v>
      </c>
      <c r="D33">
        <v>27375914</v>
      </c>
      <c r="E33">
        <v>1</v>
      </c>
      <c r="F33">
        <v>1</v>
      </c>
      <c r="G33">
        <v>1</v>
      </c>
      <c r="H33">
        <v>3</v>
      </c>
      <c r="I33" t="s">
        <v>67</v>
      </c>
      <c r="J33" t="s">
        <v>70</v>
      </c>
      <c r="K33" t="s">
        <v>68</v>
      </c>
      <c r="L33">
        <v>1354</v>
      </c>
      <c r="N33">
        <v>1010</v>
      </c>
      <c r="O33" t="s">
        <v>69</v>
      </c>
      <c r="P33" t="s">
        <v>69</v>
      </c>
      <c r="Q33">
        <v>1</v>
      </c>
      <c r="W33">
        <v>0</v>
      </c>
      <c r="X33">
        <v>-1860329091</v>
      </c>
      <c r="Y33">
        <f t="shared" si="0"/>
        <v>121.95122000000001</v>
      </c>
      <c r="AA33">
        <v>285.57</v>
      </c>
      <c r="AB33">
        <v>0</v>
      </c>
      <c r="AC33">
        <v>0</v>
      </c>
      <c r="AD33">
        <v>0</v>
      </c>
      <c r="AE33">
        <v>285.57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0</v>
      </c>
      <c r="AN33">
        <v>0</v>
      </c>
      <c r="AO33">
        <v>0</v>
      </c>
      <c r="AP33">
        <v>1</v>
      </c>
      <c r="AQ33">
        <v>0</v>
      </c>
      <c r="AR33">
        <v>0</v>
      </c>
      <c r="AS33" t="s">
        <v>3</v>
      </c>
      <c r="AT33">
        <v>121.95122000000001</v>
      </c>
      <c r="AU33" t="s">
        <v>3</v>
      </c>
      <c r="AV33">
        <v>0</v>
      </c>
      <c r="AW33">
        <v>1</v>
      </c>
      <c r="AX33">
        <v>-1</v>
      </c>
      <c r="AY33">
        <v>0</v>
      </c>
      <c r="AZ33">
        <v>0</v>
      </c>
      <c r="BA33" t="s">
        <v>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>
        <f>ROUND(Y33*Source!I37,9)</f>
        <v>2.0000000080000002</v>
      </c>
      <c r="CY33">
        <f>AA33</f>
        <v>285.57</v>
      </c>
      <c r="CZ33">
        <f>AE33</f>
        <v>285.57</v>
      </c>
      <c r="DA33">
        <f>AI33</f>
        <v>1</v>
      </c>
      <c r="DB33">
        <f t="shared" si="1"/>
        <v>34825.61</v>
      </c>
      <c r="DC33">
        <f t="shared" si="2"/>
        <v>0</v>
      </c>
      <c r="DD33" t="s">
        <v>3</v>
      </c>
      <c r="DE33" t="s">
        <v>3</v>
      </c>
      <c r="DF33">
        <f t="shared" si="8"/>
        <v>572</v>
      </c>
      <c r="DG33">
        <f t="shared" si="7"/>
        <v>0</v>
      </c>
      <c r="DH33">
        <f>Source!I37*SmtRes!Y33</f>
        <v>2.0000000080000002</v>
      </c>
      <c r="DI33">
        <f>AA33</f>
        <v>285.57</v>
      </c>
      <c r="DJ33">
        <f>DF33</f>
        <v>572</v>
      </c>
      <c r="DK33">
        <f>Source!BC37</f>
        <v>1</v>
      </c>
      <c r="DL33" t="s">
        <v>3</v>
      </c>
      <c r="DM33">
        <v>0</v>
      </c>
      <c r="DN33" t="s">
        <v>3</v>
      </c>
      <c r="DO33">
        <v>0</v>
      </c>
      <c r="GP33">
        <v>1</v>
      </c>
      <c r="GQ33">
        <v>-1</v>
      </c>
      <c r="GR33">
        <v>-1</v>
      </c>
    </row>
    <row r="34" spans="1:200" x14ac:dyDescent="0.2">
      <c r="A34">
        <f>ROW(Source!A37)</f>
        <v>37</v>
      </c>
      <c r="B34">
        <v>71570243</v>
      </c>
      <c r="C34">
        <v>71570324</v>
      </c>
      <c r="D34">
        <v>65173931</v>
      </c>
      <c r="E34">
        <v>1</v>
      </c>
      <c r="F34">
        <v>1</v>
      </c>
      <c r="G34">
        <v>1</v>
      </c>
      <c r="H34">
        <v>3</v>
      </c>
      <c r="I34" t="s">
        <v>73</v>
      </c>
      <c r="J34" t="s">
        <v>76</v>
      </c>
      <c r="K34" t="s">
        <v>74</v>
      </c>
      <c r="L34">
        <v>1339</v>
      </c>
      <c r="N34">
        <v>1007</v>
      </c>
      <c r="O34" t="s">
        <v>75</v>
      </c>
      <c r="P34" t="s">
        <v>75</v>
      </c>
      <c r="Q34">
        <v>1</v>
      </c>
      <c r="W34">
        <v>0</v>
      </c>
      <c r="X34">
        <v>-1688108502</v>
      </c>
      <c r="Y34">
        <f t="shared" si="0"/>
        <v>9.5121950000000002</v>
      </c>
      <c r="AA34">
        <v>737.83</v>
      </c>
      <c r="AB34">
        <v>0</v>
      </c>
      <c r="AC34">
        <v>0</v>
      </c>
      <c r="AD34">
        <v>0</v>
      </c>
      <c r="AE34">
        <v>737.83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0</v>
      </c>
      <c r="AN34">
        <v>0</v>
      </c>
      <c r="AO34">
        <v>0</v>
      </c>
      <c r="AP34">
        <v>1</v>
      </c>
      <c r="AQ34">
        <v>0</v>
      </c>
      <c r="AR34">
        <v>0</v>
      </c>
      <c r="AS34" t="s">
        <v>3</v>
      </c>
      <c r="AT34">
        <v>9.5121950000000002</v>
      </c>
      <c r="AU34" t="s">
        <v>3</v>
      </c>
      <c r="AV34">
        <v>0</v>
      </c>
      <c r="AW34">
        <v>1</v>
      </c>
      <c r="AX34">
        <v>-1</v>
      </c>
      <c r="AY34">
        <v>0</v>
      </c>
      <c r="AZ34">
        <v>0</v>
      </c>
      <c r="BA34" t="s">
        <v>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>
        <f>ROUND(Y34*Source!I37,9)</f>
        <v>0.155999998</v>
      </c>
      <c r="CY34">
        <f>AA34</f>
        <v>737.83</v>
      </c>
      <c r="CZ34">
        <f>AE34</f>
        <v>737.83</v>
      </c>
      <c r="DA34">
        <f>AI34</f>
        <v>1</v>
      </c>
      <c r="DB34">
        <f t="shared" si="1"/>
        <v>7018.38</v>
      </c>
      <c r="DC34">
        <f t="shared" si="2"/>
        <v>0</v>
      </c>
      <c r="DD34" t="s">
        <v>3</v>
      </c>
      <c r="DE34" t="s">
        <v>3</v>
      </c>
      <c r="DF34">
        <f t="shared" si="8"/>
        <v>115</v>
      </c>
      <c r="DG34">
        <f t="shared" si="7"/>
        <v>0</v>
      </c>
      <c r="DH34">
        <f>Source!I37*SmtRes!Y34</f>
        <v>0.15599999800000003</v>
      </c>
      <c r="DI34">
        <f>AA34</f>
        <v>737.83</v>
      </c>
      <c r="DJ34">
        <f>DF34</f>
        <v>115</v>
      </c>
      <c r="DK34">
        <f>Source!BC37</f>
        <v>1</v>
      </c>
      <c r="DL34" t="s">
        <v>3</v>
      </c>
      <c r="DM34">
        <v>0</v>
      </c>
      <c r="DN34" t="s">
        <v>3</v>
      </c>
      <c r="DO34">
        <v>0</v>
      </c>
      <c r="GP34">
        <v>1</v>
      </c>
      <c r="GQ34">
        <v>-1</v>
      </c>
      <c r="GR34">
        <v>-1</v>
      </c>
    </row>
    <row r="35" spans="1:200" x14ac:dyDescent="0.2">
      <c r="A35">
        <f>ROW(Source!A38)</f>
        <v>38</v>
      </c>
      <c r="B35">
        <v>71570244</v>
      </c>
      <c r="C35">
        <v>71570324</v>
      </c>
      <c r="D35">
        <v>27494941</v>
      </c>
      <c r="E35">
        <v>1</v>
      </c>
      <c r="F35">
        <v>1</v>
      </c>
      <c r="G35">
        <v>1</v>
      </c>
      <c r="H35">
        <v>1</v>
      </c>
      <c r="I35" t="s">
        <v>235</v>
      </c>
      <c r="J35" t="s">
        <v>3</v>
      </c>
      <c r="K35" t="s">
        <v>236</v>
      </c>
      <c r="L35">
        <v>1369</v>
      </c>
      <c r="N35">
        <v>1013</v>
      </c>
      <c r="O35" t="s">
        <v>225</v>
      </c>
      <c r="P35" t="s">
        <v>225</v>
      </c>
      <c r="Q35">
        <v>1</v>
      </c>
      <c r="W35">
        <v>0</v>
      </c>
      <c r="X35">
        <v>125517987</v>
      </c>
      <c r="Y35">
        <f t="shared" si="0"/>
        <v>407.37</v>
      </c>
      <c r="AA35">
        <v>0</v>
      </c>
      <c r="AB35">
        <v>0</v>
      </c>
      <c r="AC35">
        <v>0</v>
      </c>
      <c r="AD35">
        <v>324.14</v>
      </c>
      <c r="AE35">
        <v>0</v>
      </c>
      <c r="AF35">
        <v>0</v>
      </c>
      <c r="AG35">
        <v>0</v>
      </c>
      <c r="AH35">
        <v>8.5299999999999994</v>
      </c>
      <c r="AI35">
        <v>1</v>
      </c>
      <c r="AJ35">
        <v>1</v>
      </c>
      <c r="AK35">
        <v>1</v>
      </c>
      <c r="AL35">
        <v>38</v>
      </c>
      <c r="AM35">
        <v>5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407.37</v>
      </c>
      <c r="AU35" t="s">
        <v>3</v>
      </c>
      <c r="AV35">
        <v>1</v>
      </c>
      <c r="AW35">
        <v>2</v>
      </c>
      <c r="AX35">
        <v>71570335</v>
      </c>
      <c r="AY35">
        <v>1</v>
      </c>
      <c r="AZ35">
        <v>0</v>
      </c>
      <c r="BA35">
        <v>41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U35">
        <f>ROUND(AT35*Source!I38*AH35*AL35,0)</f>
        <v>2166</v>
      </c>
      <c r="CV35">
        <f>ROUND(Y35*Source!I38,9)</f>
        <v>6.6808680000000003</v>
      </c>
      <c r="CW35">
        <v>0</v>
      </c>
      <c r="CX35">
        <f>ROUND(Y35*Source!I38,9)</f>
        <v>6.6808680000000003</v>
      </c>
      <c r="CY35">
        <f>AD35</f>
        <v>324.14</v>
      </c>
      <c r="CZ35">
        <f>AH35</f>
        <v>8.5299999999999994</v>
      </c>
      <c r="DA35">
        <f>AL35</f>
        <v>38</v>
      </c>
      <c r="DB35">
        <f t="shared" si="1"/>
        <v>3474.87</v>
      </c>
      <c r="DC35">
        <f t="shared" si="2"/>
        <v>0</v>
      </c>
      <c r="DD35" t="s">
        <v>3</v>
      </c>
      <c r="DE35" t="s">
        <v>3</v>
      </c>
      <c r="DF35">
        <f t="shared" si="8"/>
        <v>0</v>
      </c>
      <c r="DG35">
        <f t="shared" si="7"/>
        <v>0</v>
      </c>
      <c r="DH35">
        <f>Source!I38*SmtRes!Y35</f>
        <v>6.6808680000000003</v>
      </c>
      <c r="DI35">
        <f>AD35</f>
        <v>324.14</v>
      </c>
      <c r="DJ35">
        <f>EtalonRes!AB41</f>
        <v>8.5299999999999994</v>
      </c>
      <c r="DK35">
        <f>Source!BA38</f>
        <v>38</v>
      </c>
      <c r="DL35" t="s">
        <v>3</v>
      </c>
      <c r="DM35">
        <v>0</v>
      </c>
      <c r="DN35" t="s">
        <v>3</v>
      </c>
      <c r="DO35">
        <v>0</v>
      </c>
      <c r="GQ35">
        <v>-1</v>
      </c>
      <c r="GR35">
        <v>-1</v>
      </c>
    </row>
    <row r="36" spans="1:200" x14ac:dyDescent="0.2">
      <c r="A36">
        <f>ROW(Source!A38)</f>
        <v>38</v>
      </c>
      <c r="B36">
        <v>71570244</v>
      </c>
      <c r="C36">
        <v>71570324</v>
      </c>
      <c r="D36">
        <v>121548</v>
      </c>
      <c r="E36">
        <v>1</v>
      </c>
      <c r="F36">
        <v>1</v>
      </c>
      <c r="G36">
        <v>1</v>
      </c>
      <c r="H36">
        <v>1</v>
      </c>
      <c r="I36" t="s">
        <v>40</v>
      </c>
      <c r="J36" t="s">
        <v>3</v>
      </c>
      <c r="K36" t="s">
        <v>226</v>
      </c>
      <c r="L36">
        <v>608254</v>
      </c>
      <c r="N36">
        <v>1013</v>
      </c>
      <c r="O36" t="s">
        <v>227</v>
      </c>
      <c r="P36" t="s">
        <v>227</v>
      </c>
      <c r="Q36">
        <v>1</v>
      </c>
      <c r="W36">
        <v>0</v>
      </c>
      <c r="X36">
        <v>-185737400</v>
      </c>
      <c r="Y36">
        <f t="shared" si="0"/>
        <v>39.700000000000003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19.8</v>
      </c>
      <c r="AL36">
        <v>1</v>
      </c>
      <c r="AM36">
        <v>5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39.700000000000003</v>
      </c>
      <c r="AU36" t="s">
        <v>3</v>
      </c>
      <c r="AV36">
        <v>2</v>
      </c>
      <c r="AW36">
        <v>2</v>
      </c>
      <c r="AX36">
        <v>71570336</v>
      </c>
      <c r="AY36">
        <v>1</v>
      </c>
      <c r="AZ36">
        <v>0</v>
      </c>
      <c r="BA36">
        <v>42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ROUND(Y36*Source!I38,9)</f>
        <v>0.65107999999999999</v>
      </c>
      <c r="CY36">
        <f>AD36</f>
        <v>0</v>
      </c>
      <c r="CZ36">
        <f>AH36</f>
        <v>0</v>
      </c>
      <c r="DA36">
        <f>AL36</f>
        <v>1</v>
      </c>
      <c r="DB36">
        <f t="shared" si="1"/>
        <v>0</v>
      </c>
      <c r="DC36">
        <f t="shared" si="2"/>
        <v>0</v>
      </c>
      <c r="DD36" t="s">
        <v>3</v>
      </c>
      <c r="DE36" t="s">
        <v>3</v>
      </c>
      <c r="DF36">
        <f t="shared" si="8"/>
        <v>0</v>
      </c>
      <c r="DG36">
        <f t="shared" si="7"/>
        <v>0</v>
      </c>
      <c r="DH36">
        <f>Source!I38*SmtRes!Y36</f>
        <v>0.6510800000000001</v>
      </c>
      <c r="DI36">
        <f>AD36</f>
        <v>0</v>
      </c>
      <c r="DJ36">
        <f>EtalonRes!AB42</f>
        <v>0</v>
      </c>
      <c r="DK36">
        <f>Source!BA38</f>
        <v>38</v>
      </c>
      <c r="DL36" t="s">
        <v>3</v>
      </c>
      <c r="DM36">
        <v>0</v>
      </c>
      <c r="DN36" t="s">
        <v>3</v>
      </c>
      <c r="DO36">
        <v>0</v>
      </c>
      <c r="GQ36">
        <v>-1</v>
      </c>
      <c r="GR36">
        <v>-1</v>
      </c>
    </row>
    <row r="37" spans="1:200" x14ac:dyDescent="0.2">
      <c r="A37">
        <f>ROW(Source!A38)</f>
        <v>38</v>
      </c>
      <c r="B37">
        <v>71570244</v>
      </c>
      <c r="C37">
        <v>71570324</v>
      </c>
      <c r="D37">
        <v>27439499</v>
      </c>
      <c r="E37">
        <v>1</v>
      </c>
      <c r="F37">
        <v>1</v>
      </c>
      <c r="G37">
        <v>1</v>
      </c>
      <c r="H37">
        <v>2</v>
      </c>
      <c r="I37" t="s">
        <v>237</v>
      </c>
      <c r="J37" t="s">
        <v>238</v>
      </c>
      <c r="K37" t="s">
        <v>239</v>
      </c>
      <c r="L37">
        <v>1368</v>
      </c>
      <c r="N37">
        <v>1011</v>
      </c>
      <c r="O37" t="s">
        <v>231</v>
      </c>
      <c r="P37" t="s">
        <v>231</v>
      </c>
      <c r="Q37">
        <v>1</v>
      </c>
      <c r="W37">
        <v>0</v>
      </c>
      <c r="X37">
        <v>1890856440</v>
      </c>
      <c r="Y37">
        <f t="shared" si="0"/>
        <v>26.82</v>
      </c>
      <c r="AA37">
        <v>0</v>
      </c>
      <c r="AB37">
        <v>1047.83</v>
      </c>
      <c r="AC37">
        <v>269.48</v>
      </c>
      <c r="AD37">
        <v>0</v>
      </c>
      <c r="AE37">
        <v>0</v>
      </c>
      <c r="AF37">
        <v>112.67</v>
      </c>
      <c r="AG37">
        <v>13.61</v>
      </c>
      <c r="AH37">
        <v>0</v>
      </c>
      <c r="AI37">
        <v>1</v>
      </c>
      <c r="AJ37">
        <v>9.3000000000000007</v>
      </c>
      <c r="AK37">
        <v>19.8</v>
      </c>
      <c r="AL37">
        <v>1</v>
      </c>
      <c r="AM37">
        <v>5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26.82</v>
      </c>
      <c r="AU37" t="s">
        <v>3</v>
      </c>
      <c r="AV37">
        <v>0</v>
      </c>
      <c r="AW37">
        <v>2</v>
      </c>
      <c r="AX37">
        <v>71570337</v>
      </c>
      <c r="AY37">
        <v>1</v>
      </c>
      <c r="AZ37">
        <v>0</v>
      </c>
      <c r="BA37">
        <v>43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f>ROUND(Y37*Source!I38*DO37,9)</f>
        <v>0</v>
      </c>
      <c r="CX37">
        <f>ROUND(Y37*Source!I38,9)</f>
        <v>0.43984800000000002</v>
      </c>
      <c r="CY37">
        <f>AB37</f>
        <v>1047.83</v>
      </c>
      <c r="CZ37">
        <f>AF37</f>
        <v>112.67</v>
      </c>
      <c r="DA37">
        <f>AJ37</f>
        <v>9.3000000000000007</v>
      </c>
      <c r="DB37">
        <f t="shared" si="1"/>
        <v>3021.81</v>
      </c>
      <c r="DC37">
        <f t="shared" si="2"/>
        <v>365.02</v>
      </c>
      <c r="DD37" t="s">
        <v>3</v>
      </c>
      <c r="DE37" t="s">
        <v>3</v>
      </c>
      <c r="DF37">
        <f t="shared" si="8"/>
        <v>0</v>
      </c>
      <c r="DG37">
        <f>ROUND(ROUND(AF37*AJ37,0)*CX37,0)</f>
        <v>461</v>
      </c>
      <c r="DH37">
        <f>Source!I38*SmtRes!Y37</f>
        <v>0.43984800000000002</v>
      </c>
      <c r="DI37">
        <f>AB37</f>
        <v>1047.83</v>
      </c>
      <c r="DJ37">
        <f>EtalonRes!Z43</f>
        <v>112.67</v>
      </c>
      <c r="DK37">
        <f>Source!BB38</f>
        <v>9.3000000000000007</v>
      </c>
      <c r="DL37" t="s">
        <v>3</v>
      </c>
      <c r="DM37">
        <v>0</v>
      </c>
      <c r="DN37" t="s">
        <v>3</v>
      </c>
      <c r="DO37">
        <v>0</v>
      </c>
      <c r="GQ37">
        <v>-1</v>
      </c>
      <c r="GR37">
        <v>-1</v>
      </c>
    </row>
    <row r="38" spans="1:200" x14ac:dyDescent="0.2">
      <c r="A38">
        <f>ROW(Source!A38)</f>
        <v>38</v>
      </c>
      <c r="B38">
        <v>71570244</v>
      </c>
      <c r="C38">
        <v>71570324</v>
      </c>
      <c r="D38">
        <v>27439571</v>
      </c>
      <c r="E38">
        <v>1</v>
      </c>
      <c r="F38">
        <v>1</v>
      </c>
      <c r="G38">
        <v>1</v>
      </c>
      <c r="H38">
        <v>2</v>
      </c>
      <c r="I38" t="s">
        <v>240</v>
      </c>
      <c r="J38" t="s">
        <v>241</v>
      </c>
      <c r="K38" t="s">
        <v>242</v>
      </c>
      <c r="L38">
        <v>1368</v>
      </c>
      <c r="N38">
        <v>1011</v>
      </c>
      <c r="O38" t="s">
        <v>231</v>
      </c>
      <c r="P38" t="s">
        <v>231</v>
      </c>
      <c r="Q38">
        <v>1</v>
      </c>
      <c r="W38">
        <v>0</v>
      </c>
      <c r="X38">
        <v>1462286705</v>
      </c>
      <c r="Y38">
        <f t="shared" si="0"/>
        <v>1.05</v>
      </c>
      <c r="AA38">
        <v>0</v>
      </c>
      <c r="AB38">
        <v>822.31</v>
      </c>
      <c r="AC38">
        <v>200.77</v>
      </c>
      <c r="AD38">
        <v>0</v>
      </c>
      <c r="AE38">
        <v>0</v>
      </c>
      <c r="AF38">
        <v>88.42</v>
      </c>
      <c r="AG38">
        <v>10.14</v>
      </c>
      <c r="AH38">
        <v>0</v>
      </c>
      <c r="AI38">
        <v>1</v>
      </c>
      <c r="AJ38">
        <v>9.3000000000000007</v>
      </c>
      <c r="AK38">
        <v>19.8</v>
      </c>
      <c r="AL38">
        <v>1</v>
      </c>
      <c r="AM38">
        <v>5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1.05</v>
      </c>
      <c r="AU38" t="s">
        <v>3</v>
      </c>
      <c r="AV38">
        <v>0</v>
      </c>
      <c r="AW38">
        <v>2</v>
      </c>
      <c r="AX38">
        <v>71570338</v>
      </c>
      <c r="AY38">
        <v>1</v>
      </c>
      <c r="AZ38">
        <v>0</v>
      </c>
      <c r="BA38">
        <v>44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f>ROUND(Y38*Source!I38*DO38,9)</f>
        <v>0</v>
      </c>
      <c r="CX38">
        <f>ROUND(Y38*Source!I38,9)</f>
        <v>1.7219999999999999E-2</v>
      </c>
      <c r="CY38">
        <f>AB38</f>
        <v>822.31</v>
      </c>
      <c r="CZ38">
        <f>AF38</f>
        <v>88.42</v>
      </c>
      <c r="DA38">
        <f>AJ38</f>
        <v>9.3000000000000007</v>
      </c>
      <c r="DB38">
        <f t="shared" si="1"/>
        <v>92.84</v>
      </c>
      <c r="DC38">
        <f t="shared" si="2"/>
        <v>10.65</v>
      </c>
      <c r="DD38" t="s">
        <v>3</v>
      </c>
      <c r="DE38" t="s">
        <v>3</v>
      </c>
      <c r="DF38">
        <f t="shared" si="8"/>
        <v>0</v>
      </c>
      <c r="DG38">
        <f>ROUND(ROUND(AF38*AJ38,0)*CX38,0)</f>
        <v>14</v>
      </c>
      <c r="DH38">
        <f>Source!I38*SmtRes!Y38</f>
        <v>1.7220000000000003E-2</v>
      </c>
      <c r="DI38">
        <f>AB38</f>
        <v>822.31</v>
      </c>
      <c r="DJ38">
        <f>EtalonRes!Z44</f>
        <v>88.42</v>
      </c>
      <c r="DK38">
        <f>Source!BB38</f>
        <v>9.3000000000000007</v>
      </c>
      <c r="DL38" t="s">
        <v>3</v>
      </c>
      <c r="DM38">
        <v>0</v>
      </c>
      <c r="DN38" t="s">
        <v>3</v>
      </c>
      <c r="DO38">
        <v>0</v>
      </c>
      <c r="GQ38">
        <v>-1</v>
      </c>
      <c r="GR38">
        <v>-1</v>
      </c>
    </row>
    <row r="39" spans="1:200" x14ac:dyDescent="0.2">
      <c r="A39">
        <f>ROW(Source!A38)</f>
        <v>38</v>
      </c>
      <c r="B39">
        <v>71570244</v>
      </c>
      <c r="C39">
        <v>71570324</v>
      </c>
      <c r="D39">
        <v>27440482</v>
      </c>
      <c r="E39">
        <v>1</v>
      </c>
      <c r="F39">
        <v>1</v>
      </c>
      <c r="G39">
        <v>1</v>
      </c>
      <c r="H39">
        <v>2</v>
      </c>
      <c r="I39" t="s">
        <v>243</v>
      </c>
      <c r="J39" t="s">
        <v>244</v>
      </c>
      <c r="K39" t="s">
        <v>245</v>
      </c>
      <c r="L39">
        <v>1368</v>
      </c>
      <c r="N39">
        <v>1011</v>
      </c>
      <c r="O39" t="s">
        <v>231</v>
      </c>
      <c r="P39" t="s">
        <v>231</v>
      </c>
      <c r="Q39">
        <v>1</v>
      </c>
      <c r="W39">
        <v>0</v>
      </c>
      <c r="X39">
        <v>-764752255</v>
      </c>
      <c r="Y39">
        <f t="shared" si="0"/>
        <v>11.83</v>
      </c>
      <c r="AA39">
        <v>0</v>
      </c>
      <c r="AB39">
        <v>1257.55</v>
      </c>
      <c r="AC39">
        <v>231.46</v>
      </c>
      <c r="AD39">
        <v>0</v>
      </c>
      <c r="AE39">
        <v>0</v>
      </c>
      <c r="AF39">
        <v>135.22</v>
      </c>
      <c r="AG39">
        <v>11.69</v>
      </c>
      <c r="AH39">
        <v>0</v>
      </c>
      <c r="AI39">
        <v>1</v>
      </c>
      <c r="AJ39">
        <v>9.3000000000000007</v>
      </c>
      <c r="AK39">
        <v>19.8</v>
      </c>
      <c r="AL39">
        <v>1</v>
      </c>
      <c r="AM39">
        <v>5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11.83</v>
      </c>
      <c r="AU39" t="s">
        <v>3</v>
      </c>
      <c r="AV39">
        <v>0</v>
      </c>
      <c r="AW39">
        <v>2</v>
      </c>
      <c r="AX39">
        <v>71570339</v>
      </c>
      <c r="AY39">
        <v>1</v>
      </c>
      <c r="AZ39">
        <v>0</v>
      </c>
      <c r="BA39">
        <v>45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f>ROUND(Y39*Source!I38*DO39,9)</f>
        <v>0</v>
      </c>
      <c r="CX39">
        <f>ROUND(Y39*Source!I38,9)</f>
        <v>0.19401199999999999</v>
      </c>
      <c r="CY39">
        <f>AB39</f>
        <v>1257.55</v>
      </c>
      <c r="CZ39">
        <f>AF39</f>
        <v>135.22</v>
      </c>
      <c r="DA39">
        <f>AJ39</f>
        <v>9.3000000000000007</v>
      </c>
      <c r="DB39">
        <f t="shared" si="1"/>
        <v>1599.65</v>
      </c>
      <c r="DC39">
        <f t="shared" si="2"/>
        <v>138.29</v>
      </c>
      <c r="DD39" t="s">
        <v>3</v>
      </c>
      <c r="DE39" t="s">
        <v>3</v>
      </c>
      <c r="DF39">
        <f t="shared" si="8"/>
        <v>0</v>
      </c>
      <c r="DG39">
        <f>ROUND(ROUND(AF39*AJ39,0)*CX39,0)</f>
        <v>244</v>
      </c>
      <c r="DH39">
        <f>Source!I38*SmtRes!Y39</f>
        <v>0.19401200000000002</v>
      </c>
      <c r="DI39">
        <f>AB39</f>
        <v>1257.55</v>
      </c>
      <c r="DJ39">
        <f>EtalonRes!Z45</f>
        <v>135.22</v>
      </c>
      <c r="DK39">
        <f>Source!BB38</f>
        <v>9.3000000000000007</v>
      </c>
      <c r="DL39" t="s">
        <v>3</v>
      </c>
      <c r="DM39">
        <v>0</v>
      </c>
      <c r="DN39" t="s">
        <v>3</v>
      </c>
      <c r="DO39">
        <v>0</v>
      </c>
      <c r="GQ39">
        <v>-1</v>
      </c>
      <c r="GR39">
        <v>-1</v>
      </c>
    </row>
    <row r="40" spans="1:200" x14ac:dyDescent="0.2">
      <c r="A40">
        <f>ROW(Source!A38)</f>
        <v>38</v>
      </c>
      <c r="B40">
        <v>71570244</v>
      </c>
      <c r="C40">
        <v>71570324</v>
      </c>
      <c r="D40">
        <v>27441327</v>
      </c>
      <c r="E40">
        <v>1</v>
      </c>
      <c r="F40">
        <v>1</v>
      </c>
      <c r="G40">
        <v>1</v>
      </c>
      <c r="H40">
        <v>2</v>
      </c>
      <c r="I40" t="s">
        <v>246</v>
      </c>
      <c r="J40" t="s">
        <v>247</v>
      </c>
      <c r="K40" t="s">
        <v>248</v>
      </c>
      <c r="L40">
        <v>1368</v>
      </c>
      <c r="N40">
        <v>1011</v>
      </c>
      <c r="O40" t="s">
        <v>231</v>
      </c>
      <c r="P40" t="s">
        <v>231</v>
      </c>
      <c r="Q40">
        <v>1</v>
      </c>
      <c r="W40">
        <v>0</v>
      </c>
      <c r="X40">
        <v>-1583389094</v>
      </c>
      <c r="Y40">
        <f t="shared" si="0"/>
        <v>4.12</v>
      </c>
      <c r="AA40">
        <v>0</v>
      </c>
      <c r="AB40">
        <v>868.34</v>
      </c>
      <c r="AC40">
        <v>231.46</v>
      </c>
      <c r="AD40">
        <v>0</v>
      </c>
      <c r="AE40">
        <v>0</v>
      </c>
      <c r="AF40">
        <v>93.37</v>
      </c>
      <c r="AG40">
        <v>11.69</v>
      </c>
      <c r="AH40">
        <v>0</v>
      </c>
      <c r="AI40">
        <v>1</v>
      </c>
      <c r="AJ40">
        <v>9.3000000000000007</v>
      </c>
      <c r="AK40">
        <v>19.8</v>
      </c>
      <c r="AL40">
        <v>1</v>
      </c>
      <c r="AM40">
        <v>5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4.12</v>
      </c>
      <c r="AU40" t="s">
        <v>3</v>
      </c>
      <c r="AV40">
        <v>0</v>
      </c>
      <c r="AW40">
        <v>2</v>
      </c>
      <c r="AX40">
        <v>71570340</v>
      </c>
      <c r="AY40">
        <v>1</v>
      </c>
      <c r="AZ40">
        <v>0</v>
      </c>
      <c r="BA40">
        <v>46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f>ROUND(Y40*Source!I38*DO40,9)</f>
        <v>0</v>
      </c>
      <c r="CX40">
        <f>ROUND(Y40*Source!I38,9)</f>
        <v>6.7568000000000003E-2</v>
      </c>
      <c r="CY40">
        <f>AB40</f>
        <v>868.34</v>
      </c>
      <c r="CZ40">
        <f>AF40</f>
        <v>93.37</v>
      </c>
      <c r="DA40">
        <f>AJ40</f>
        <v>9.3000000000000007</v>
      </c>
      <c r="DB40">
        <f t="shared" si="1"/>
        <v>384.68</v>
      </c>
      <c r="DC40">
        <f t="shared" si="2"/>
        <v>48.16</v>
      </c>
      <c r="DD40" t="s">
        <v>3</v>
      </c>
      <c r="DE40" t="s">
        <v>3</v>
      </c>
      <c r="DF40">
        <f t="shared" si="8"/>
        <v>0</v>
      </c>
      <c r="DG40">
        <f>ROUND(ROUND(AF40*AJ40,0)*CX40,0)</f>
        <v>59</v>
      </c>
      <c r="DH40">
        <f>Source!I38*SmtRes!Y40</f>
        <v>6.7568000000000003E-2</v>
      </c>
      <c r="DI40">
        <f>AB40</f>
        <v>868.34</v>
      </c>
      <c r="DJ40">
        <f>EtalonRes!Z46</f>
        <v>93.37</v>
      </c>
      <c r="DK40">
        <f>Source!BB38</f>
        <v>9.3000000000000007</v>
      </c>
      <c r="DL40" t="s">
        <v>3</v>
      </c>
      <c r="DM40">
        <v>0</v>
      </c>
      <c r="DN40" t="s">
        <v>3</v>
      </c>
      <c r="DO40">
        <v>0</v>
      </c>
      <c r="GQ40">
        <v>-1</v>
      </c>
      <c r="GR40">
        <v>-1</v>
      </c>
    </row>
    <row r="41" spans="1:200" x14ac:dyDescent="0.2">
      <c r="A41">
        <f>ROW(Source!A38)</f>
        <v>38</v>
      </c>
      <c r="B41">
        <v>71570244</v>
      </c>
      <c r="C41">
        <v>71570324</v>
      </c>
      <c r="D41">
        <v>27374309</v>
      </c>
      <c r="E41">
        <v>1</v>
      </c>
      <c r="F41">
        <v>1</v>
      </c>
      <c r="G41">
        <v>1</v>
      </c>
      <c r="H41">
        <v>3</v>
      </c>
      <c r="I41" t="s">
        <v>62</v>
      </c>
      <c r="J41" t="s">
        <v>64</v>
      </c>
      <c r="K41" t="s">
        <v>63</v>
      </c>
      <c r="L41">
        <v>1348</v>
      </c>
      <c r="N41">
        <v>1009</v>
      </c>
      <c r="O41" t="s">
        <v>33</v>
      </c>
      <c r="P41" t="s">
        <v>33</v>
      </c>
      <c r="Q41">
        <v>1000</v>
      </c>
      <c r="W41">
        <v>0</v>
      </c>
      <c r="X41">
        <v>1831784314</v>
      </c>
      <c r="Y41">
        <f t="shared" si="0"/>
        <v>9.3999999999999997E-4</v>
      </c>
      <c r="AA41">
        <v>81220</v>
      </c>
      <c r="AB41">
        <v>0</v>
      </c>
      <c r="AC41">
        <v>0</v>
      </c>
      <c r="AD41">
        <v>0</v>
      </c>
      <c r="AE41">
        <v>11297.97</v>
      </c>
      <c r="AF41">
        <v>0</v>
      </c>
      <c r="AG41">
        <v>0</v>
      </c>
      <c r="AH41">
        <v>0</v>
      </c>
      <c r="AI41">
        <v>7.56</v>
      </c>
      <c r="AJ41">
        <v>1</v>
      </c>
      <c r="AK41">
        <v>1</v>
      </c>
      <c r="AL41">
        <v>1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 t="s">
        <v>3</v>
      </c>
      <c r="AT41">
        <v>9.3999999999999997E-4</v>
      </c>
      <c r="AU41" t="s">
        <v>3</v>
      </c>
      <c r="AV41">
        <v>0</v>
      </c>
      <c r="AW41">
        <v>1</v>
      </c>
      <c r="AX41">
        <v>-1</v>
      </c>
      <c r="AY41">
        <v>0</v>
      </c>
      <c r="AZ41">
        <v>0</v>
      </c>
      <c r="BA41" t="s">
        <v>3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ROUND(Y41*Source!I38,9)</f>
        <v>1.5415999999999999E-5</v>
      </c>
      <c r="CY41">
        <f>AA41</f>
        <v>81220</v>
      </c>
      <c r="CZ41">
        <f>AE41</f>
        <v>11297.97</v>
      </c>
      <c r="DA41">
        <f>AI41</f>
        <v>7.56</v>
      </c>
      <c r="DB41">
        <f t="shared" si="1"/>
        <v>10.62</v>
      </c>
      <c r="DC41">
        <f t="shared" si="2"/>
        <v>0</v>
      </c>
      <c r="DD41" t="s">
        <v>3</v>
      </c>
      <c r="DE41" t="s">
        <v>3</v>
      </c>
      <c r="DF41">
        <f>ROUND(ROUND(AE41*AI41,0)*CX41,0)</f>
        <v>1</v>
      </c>
      <c r="DG41">
        <f t="shared" ref="DG41:DG48" si="9">ROUND(ROUND(AF41,0)*CX41,0)</f>
        <v>0</v>
      </c>
      <c r="DH41">
        <f>Source!I38*SmtRes!Y41</f>
        <v>1.5415999999999999E-5</v>
      </c>
      <c r="DI41">
        <f>AA41</f>
        <v>81220</v>
      </c>
      <c r="DJ41">
        <f>DF41</f>
        <v>1</v>
      </c>
      <c r="DK41">
        <f>Source!BC38</f>
        <v>7.56</v>
      </c>
      <c r="DL41" t="s">
        <v>3</v>
      </c>
      <c r="DM41">
        <v>0</v>
      </c>
      <c r="DN41" t="s">
        <v>3</v>
      </c>
      <c r="DO41">
        <v>0</v>
      </c>
      <c r="GP41">
        <v>1</v>
      </c>
      <c r="GQ41">
        <v>-1</v>
      </c>
      <c r="GR41">
        <v>-1</v>
      </c>
    </row>
    <row r="42" spans="1:200" x14ac:dyDescent="0.2">
      <c r="A42">
        <f>ROW(Source!A38)</f>
        <v>38</v>
      </c>
      <c r="B42">
        <v>71570244</v>
      </c>
      <c r="C42">
        <v>71570324</v>
      </c>
      <c r="D42">
        <v>27376023</v>
      </c>
      <c r="E42">
        <v>1</v>
      </c>
      <c r="F42">
        <v>1</v>
      </c>
      <c r="G42">
        <v>1</v>
      </c>
      <c r="H42">
        <v>3</v>
      </c>
      <c r="I42" t="s">
        <v>82</v>
      </c>
      <c r="J42" t="s">
        <v>84</v>
      </c>
      <c r="K42" t="s">
        <v>83</v>
      </c>
      <c r="L42">
        <v>1354</v>
      </c>
      <c r="N42">
        <v>1010</v>
      </c>
      <c r="O42" t="s">
        <v>69</v>
      </c>
      <c r="P42" t="s">
        <v>69</v>
      </c>
      <c r="Q42">
        <v>1</v>
      </c>
      <c r="W42">
        <v>0</v>
      </c>
      <c r="X42">
        <v>-1787222981</v>
      </c>
      <c r="Y42">
        <f t="shared" si="0"/>
        <v>121.95122000000001</v>
      </c>
      <c r="AA42">
        <v>1075</v>
      </c>
      <c r="AB42">
        <v>0</v>
      </c>
      <c r="AC42">
        <v>0</v>
      </c>
      <c r="AD42">
        <v>0</v>
      </c>
      <c r="AE42">
        <v>149.54</v>
      </c>
      <c r="AF42">
        <v>0</v>
      </c>
      <c r="AG42">
        <v>0</v>
      </c>
      <c r="AH42">
        <v>0</v>
      </c>
      <c r="AI42">
        <v>7.56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3</v>
      </c>
      <c r="AT42">
        <v>121.95122000000001</v>
      </c>
      <c r="AU42" t="s">
        <v>3</v>
      </c>
      <c r="AV42">
        <v>0</v>
      </c>
      <c r="AW42">
        <v>1</v>
      </c>
      <c r="AX42">
        <v>-1</v>
      </c>
      <c r="AY42">
        <v>0</v>
      </c>
      <c r="AZ42">
        <v>0</v>
      </c>
      <c r="BA42" t="s">
        <v>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ROUND(Y42*Source!I38,9)</f>
        <v>2.0000000080000002</v>
      </c>
      <c r="CY42">
        <f>AA42</f>
        <v>1075</v>
      </c>
      <c r="CZ42">
        <f>AE42</f>
        <v>149.54</v>
      </c>
      <c r="DA42">
        <f>AI42</f>
        <v>7.56</v>
      </c>
      <c r="DB42">
        <f t="shared" si="1"/>
        <v>18236.59</v>
      </c>
      <c r="DC42">
        <f t="shared" si="2"/>
        <v>0</v>
      </c>
      <c r="DD42" t="s">
        <v>3</v>
      </c>
      <c r="DE42" t="s">
        <v>3</v>
      </c>
      <c r="DF42">
        <f>ROUND(ROUND(AE42*AI42,0)*CX42,0)</f>
        <v>2262</v>
      </c>
      <c r="DG42">
        <f t="shared" si="9"/>
        <v>0</v>
      </c>
      <c r="DH42">
        <f>Source!I38*SmtRes!Y42</f>
        <v>2.0000000080000002</v>
      </c>
      <c r="DI42">
        <f>AA42</f>
        <v>1075</v>
      </c>
      <c r="DJ42">
        <f>DF42</f>
        <v>2262</v>
      </c>
      <c r="DK42">
        <f>Source!BC38</f>
        <v>7.56</v>
      </c>
      <c r="DL42" t="s">
        <v>3</v>
      </c>
      <c r="DM42">
        <v>0</v>
      </c>
      <c r="DN42" t="s">
        <v>3</v>
      </c>
      <c r="DO42">
        <v>0</v>
      </c>
      <c r="GP42">
        <v>1</v>
      </c>
      <c r="GQ42">
        <v>-1</v>
      </c>
      <c r="GR42">
        <v>-1</v>
      </c>
    </row>
    <row r="43" spans="1:200" x14ac:dyDescent="0.2">
      <c r="A43">
        <f>ROW(Source!A38)</f>
        <v>38</v>
      </c>
      <c r="B43">
        <v>71570244</v>
      </c>
      <c r="C43">
        <v>71570324</v>
      </c>
      <c r="D43">
        <v>27375914</v>
      </c>
      <c r="E43">
        <v>1</v>
      </c>
      <c r="F43">
        <v>1</v>
      </c>
      <c r="G43">
        <v>1</v>
      </c>
      <c r="H43">
        <v>3</v>
      </c>
      <c r="I43" t="s">
        <v>67</v>
      </c>
      <c r="J43" t="s">
        <v>70</v>
      </c>
      <c r="K43" t="s">
        <v>68</v>
      </c>
      <c r="L43">
        <v>1354</v>
      </c>
      <c r="N43">
        <v>1010</v>
      </c>
      <c r="O43" t="s">
        <v>69</v>
      </c>
      <c r="P43" t="s">
        <v>69</v>
      </c>
      <c r="Q43">
        <v>1</v>
      </c>
      <c r="W43">
        <v>0</v>
      </c>
      <c r="X43">
        <v>-1860329091</v>
      </c>
      <c r="Y43">
        <f t="shared" si="0"/>
        <v>121.95122000000001</v>
      </c>
      <c r="AA43">
        <v>1725</v>
      </c>
      <c r="AB43">
        <v>0</v>
      </c>
      <c r="AC43">
        <v>0</v>
      </c>
      <c r="AD43">
        <v>0</v>
      </c>
      <c r="AE43">
        <v>239.93999999999997</v>
      </c>
      <c r="AF43">
        <v>0</v>
      </c>
      <c r="AG43">
        <v>0</v>
      </c>
      <c r="AH43">
        <v>0</v>
      </c>
      <c r="AI43">
        <v>7.56</v>
      </c>
      <c r="AJ43">
        <v>1</v>
      </c>
      <c r="AK43">
        <v>1</v>
      </c>
      <c r="AL43">
        <v>1</v>
      </c>
      <c r="AM43">
        <v>0</v>
      </c>
      <c r="AN43">
        <v>0</v>
      </c>
      <c r="AO43">
        <v>0</v>
      </c>
      <c r="AP43">
        <v>1</v>
      </c>
      <c r="AQ43">
        <v>0</v>
      </c>
      <c r="AR43">
        <v>0</v>
      </c>
      <c r="AS43" t="s">
        <v>3</v>
      </c>
      <c r="AT43">
        <v>121.95122000000001</v>
      </c>
      <c r="AU43" t="s">
        <v>3</v>
      </c>
      <c r="AV43">
        <v>0</v>
      </c>
      <c r="AW43">
        <v>1</v>
      </c>
      <c r="AX43">
        <v>-1</v>
      </c>
      <c r="AY43">
        <v>0</v>
      </c>
      <c r="AZ43">
        <v>0</v>
      </c>
      <c r="BA43" t="s">
        <v>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ROUND(Y43*Source!I38,9)</f>
        <v>2.0000000080000002</v>
      </c>
      <c r="CY43">
        <f>AA43</f>
        <v>1725</v>
      </c>
      <c r="CZ43">
        <f>AE43</f>
        <v>239.93999999999997</v>
      </c>
      <c r="DA43">
        <f>AI43</f>
        <v>7.56</v>
      </c>
      <c r="DB43">
        <f t="shared" si="1"/>
        <v>29260.98</v>
      </c>
      <c r="DC43">
        <f t="shared" si="2"/>
        <v>0</v>
      </c>
      <c r="DD43" t="s">
        <v>3</v>
      </c>
      <c r="DE43" t="s">
        <v>3</v>
      </c>
      <c r="DF43">
        <f>ROUND(ROUND(AE43*AI43,0)*CX43,0)</f>
        <v>3628</v>
      </c>
      <c r="DG43">
        <f t="shared" si="9"/>
        <v>0</v>
      </c>
      <c r="DH43">
        <f>Source!I38*SmtRes!Y43</f>
        <v>2.0000000080000002</v>
      </c>
      <c r="DI43">
        <f>AA43</f>
        <v>1725</v>
      </c>
      <c r="DJ43">
        <f>DF43</f>
        <v>3628</v>
      </c>
      <c r="DK43">
        <f>Source!BC38</f>
        <v>7.56</v>
      </c>
      <c r="DL43" t="s">
        <v>3</v>
      </c>
      <c r="DM43">
        <v>0</v>
      </c>
      <c r="DN43" t="s">
        <v>3</v>
      </c>
      <c r="DO43">
        <v>0</v>
      </c>
      <c r="GP43">
        <v>1</v>
      </c>
      <c r="GQ43">
        <v>-1</v>
      </c>
      <c r="GR43">
        <v>-1</v>
      </c>
    </row>
    <row r="44" spans="1:200" x14ac:dyDescent="0.2">
      <c r="A44">
        <f>ROW(Source!A38)</f>
        <v>38</v>
      </c>
      <c r="B44">
        <v>71570244</v>
      </c>
      <c r="C44">
        <v>71570324</v>
      </c>
      <c r="D44">
        <v>65173931</v>
      </c>
      <c r="E44">
        <v>1</v>
      </c>
      <c r="F44">
        <v>1</v>
      </c>
      <c r="G44">
        <v>1</v>
      </c>
      <c r="H44">
        <v>3</v>
      </c>
      <c r="I44" t="s">
        <v>73</v>
      </c>
      <c r="J44" t="s">
        <v>76</v>
      </c>
      <c r="K44" t="s">
        <v>74</v>
      </c>
      <c r="L44">
        <v>1339</v>
      </c>
      <c r="N44">
        <v>1007</v>
      </c>
      <c r="O44" t="s">
        <v>75</v>
      </c>
      <c r="P44" t="s">
        <v>75</v>
      </c>
      <c r="Q44">
        <v>1</v>
      </c>
      <c r="W44">
        <v>0</v>
      </c>
      <c r="X44">
        <v>-1688108502</v>
      </c>
      <c r="Y44">
        <f t="shared" si="0"/>
        <v>9.5121950000000002</v>
      </c>
      <c r="AA44">
        <v>5243.19</v>
      </c>
      <c r="AB44">
        <v>0</v>
      </c>
      <c r="AC44">
        <v>0</v>
      </c>
      <c r="AD44">
        <v>0</v>
      </c>
      <c r="AE44">
        <v>729.33999999999992</v>
      </c>
      <c r="AF44">
        <v>0</v>
      </c>
      <c r="AG44">
        <v>0</v>
      </c>
      <c r="AH44">
        <v>0</v>
      </c>
      <c r="AI44">
        <v>7.56</v>
      </c>
      <c r="AJ44">
        <v>1</v>
      </c>
      <c r="AK44">
        <v>1</v>
      </c>
      <c r="AL44">
        <v>1</v>
      </c>
      <c r="AM44">
        <v>0</v>
      </c>
      <c r="AN44">
        <v>0</v>
      </c>
      <c r="AO44">
        <v>0</v>
      </c>
      <c r="AP44">
        <v>1</v>
      </c>
      <c r="AQ44">
        <v>0</v>
      </c>
      <c r="AR44">
        <v>0</v>
      </c>
      <c r="AS44" t="s">
        <v>3</v>
      </c>
      <c r="AT44">
        <v>9.5121950000000002</v>
      </c>
      <c r="AU44" t="s">
        <v>3</v>
      </c>
      <c r="AV44">
        <v>0</v>
      </c>
      <c r="AW44">
        <v>1</v>
      </c>
      <c r="AX44">
        <v>-1</v>
      </c>
      <c r="AY44">
        <v>0</v>
      </c>
      <c r="AZ44">
        <v>0</v>
      </c>
      <c r="BA44" t="s">
        <v>3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ROUND(Y44*Source!I38,9)</f>
        <v>0.155999998</v>
      </c>
      <c r="CY44">
        <f>AA44</f>
        <v>5243.19</v>
      </c>
      <c r="CZ44">
        <f>AE44</f>
        <v>729.33999999999992</v>
      </c>
      <c r="DA44">
        <f>AI44</f>
        <v>7.56</v>
      </c>
      <c r="DB44">
        <f t="shared" si="1"/>
        <v>6937.62</v>
      </c>
      <c r="DC44">
        <f t="shared" si="2"/>
        <v>0</v>
      </c>
      <c r="DD44" t="s">
        <v>3</v>
      </c>
      <c r="DE44" t="s">
        <v>3</v>
      </c>
      <c r="DF44">
        <f>ROUND(ROUND(AE44*AI44,0)*CX44,0)</f>
        <v>860</v>
      </c>
      <c r="DG44">
        <f t="shared" si="9"/>
        <v>0</v>
      </c>
      <c r="DH44">
        <f>Source!I38*SmtRes!Y44</f>
        <v>0.15599999800000003</v>
      </c>
      <c r="DI44">
        <f>AA44</f>
        <v>5243.19</v>
      </c>
      <c r="DJ44">
        <f>DF44</f>
        <v>860</v>
      </c>
      <c r="DK44">
        <f>Source!BC38</f>
        <v>7.56</v>
      </c>
      <c r="DL44" t="s">
        <v>3</v>
      </c>
      <c r="DM44">
        <v>0</v>
      </c>
      <c r="DN44" t="s">
        <v>3</v>
      </c>
      <c r="DO44">
        <v>0</v>
      </c>
      <c r="GP44">
        <v>1</v>
      </c>
      <c r="GQ44">
        <v>-1</v>
      </c>
      <c r="GR44">
        <v>-1</v>
      </c>
    </row>
    <row r="45" spans="1:200" x14ac:dyDescent="0.2">
      <c r="A45">
        <f>ROW(Source!A47)</f>
        <v>47</v>
      </c>
      <c r="B45">
        <v>71570243</v>
      </c>
      <c r="C45">
        <v>71570355</v>
      </c>
      <c r="D45">
        <v>27493458</v>
      </c>
      <c r="E45">
        <v>1</v>
      </c>
      <c r="F45">
        <v>1</v>
      </c>
      <c r="G45">
        <v>1</v>
      </c>
      <c r="H45">
        <v>1</v>
      </c>
      <c r="I45" t="s">
        <v>249</v>
      </c>
      <c r="J45" t="s">
        <v>3</v>
      </c>
      <c r="K45" t="s">
        <v>250</v>
      </c>
      <c r="L45">
        <v>1369</v>
      </c>
      <c r="N45">
        <v>1013</v>
      </c>
      <c r="O45" t="s">
        <v>225</v>
      </c>
      <c r="P45" t="s">
        <v>225</v>
      </c>
      <c r="Q45">
        <v>1</v>
      </c>
      <c r="W45">
        <v>0</v>
      </c>
      <c r="X45">
        <v>-115882720</v>
      </c>
      <c r="Y45">
        <f t="shared" si="0"/>
        <v>69</v>
      </c>
      <c r="AA45">
        <v>0</v>
      </c>
      <c r="AB45">
        <v>0</v>
      </c>
      <c r="AC45">
        <v>0</v>
      </c>
      <c r="AD45">
        <v>8.6</v>
      </c>
      <c r="AE45">
        <v>0</v>
      </c>
      <c r="AF45">
        <v>0</v>
      </c>
      <c r="AG45">
        <v>0</v>
      </c>
      <c r="AH45">
        <v>8.6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</v>
      </c>
      <c r="AT45">
        <v>69</v>
      </c>
      <c r="AU45" t="s">
        <v>3</v>
      </c>
      <c r="AV45">
        <v>1</v>
      </c>
      <c r="AW45">
        <v>2</v>
      </c>
      <c r="AX45">
        <v>71570358</v>
      </c>
      <c r="AY45">
        <v>1</v>
      </c>
      <c r="AZ45">
        <v>0</v>
      </c>
      <c r="BA45">
        <v>57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U45">
        <f>ROUND(AT45*Source!I47*AH45*AL45,0)</f>
        <v>12</v>
      </c>
      <c r="CV45">
        <f>ROUND(Y45*Source!I47,9)</f>
        <v>1.38</v>
      </c>
      <c r="CW45">
        <v>0</v>
      </c>
      <c r="CX45">
        <f>ROUND(Y45*Source!I47,9)</f>
        <v>1.38</v>
      </c>
      <c r="CY45">
        <f>AD45</f>
        <v>8.6</v>
      </c>
      <c r="CZ45">
        <f>AH45</f>
        <v>8.6</v>
      </c>
      <c r="DA45">
        <f>AL45</f>
        <v>1</v>
      </c>
      <c r="DB45">
        <f t="shared" si="1"/>
        <v>593.4</v>
      </c>
      <c r="DC45">
        <f t="shared" si="2"/>
        <v>0</v>
      </c>
      <c r="DD45" t="s">
        <v>3</v>
      </c>
      <c r="DE45" t="s">
        <v>3</v>
      </c>
      <c r="DF45">
        <f>ROUND(ROUND(AE45,0)*CX45,0)</f>
        <v>0</v>
      </c>
      <c r="DG45">
        <f t="shared" si="9"/>
        <v>0</v>
      </c>
      <c r="DH45">
        <f>Source!I47*SmtRes!Y45</f>
        <v>1.3800000000000001</v>
      </c>
      <c r="DI45">
        <f>AD45</f>
        <v>8.6</v>
      </c>
      <c r="DJ45">
        <f>EtalonRes!AB57</f>
        <v>8.6</v>
      </c>
      <c r="DK45">
        <f>Source!BA47</f>
        <v>1</v>
      </c>
      <c r="DL45" t="s">
        <v>3</v>
      </c>
      <c r="DM45">
        <v>0</v>
      </c>
      <c r="DN45" t="s">
        <v>3</v>
      </c>
      <c r="DO45">
        <v>0</v>
      </c>
      <c r="GQ45">
        <v>-1</v>
      </c>
      <c r="GR45">
        <v>-1</v>
      </c>
    </row>
    <row r="46" spans="1:200" x14ac:dyDescent="0.2">
      <c r="A46">
        <f>ROW(Source!A47)</f>
        <v>47</v>
      </c>
      <c r="B46">
        <v>71570243</v>
      </c>
      <c r="C46">
        <v>71570355</v>
      </c>
      <c r="D46">
        <v>27376019</v>
      </c>
      <c r="E46">
        <v>1</v>
      </c>
      <c r="F46">
        <v>1</v>
      </c>
      <c r="G46">
        <v>1</v>
      </c>
      <c r="H46">
        <v>3</v>
      </c>
      <c r="I46" t="s">
        <v>92</v>
      </c>
      <c r="J46" t="s">
        <v>94</v>
      </c>
      <c r="K46" t="s">
        <v>93</v>
      </c>
      <c r="L46">
        <v>1354</v>
      </c>
      <c r="N46">
        <v>1010</v>
      </c>
      <c r="O46" t="s">
        <v>69</v>
      </c>
      <c r="P46" t="s">
        <v>69</v>
      </c>
      <c r="Q46">
        <v>1</v>
      </c>
      <c r="W46">
        <v>0</v>
      </c>
      <c r="X46">
        <v>-1835971028</v>
      </c>
      <c r="Y46">
        <f t="shared" si="0"/>
        <v>100</v>
      </c>
      <c r="AA46">
        <v>311.23</v>
      </c>
      <c r="AB46">
        <v>0</v>
      </c>
      <c r="AC46">
        <v>0</v>
      </c>
      <c r="AD46">
        <v>0</v>
      </c>
      <c r="AE46">
        <v>311.23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 t="s">
        <v>3</v>
      </c>
      <c r="AT46">
        <v>100</v>
      </c>
      <c r="AU46" t="s">
        <v>3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ROUND(Y46*Source!I47,9)</f>
        <v>2</v>
      </c>
      <c r="CY46">
        <f>AA46</f>
        <v>311.23</v>
      </c>
      <c r="CZ46">
        <f>AE46</f>
        <v>311.23</v>
      </c>
      <c r="DA46">
        <f>AI46</f>
        <v>1</v>
      </c>
      <c r="DB46">
        <f t="shared" si="1"/>
        <v>31123</v>
      </c>
      <c r="DC46">
        <f t="shared" si="2"/>
        <v>0</v>
      </c>
      <c r="DD46" t="s">
        <v>3</v>
      </c>
      <c r="DE46" t="s">
        <v>3</v>
      </c>
      <c r="DF46">
        <f>ROUND(ROUND(AE46,0)*CX46,0)</f>
        <v>622</v>
      </c>
      <c r="DG46">
        <f t="shared" si="9"/>
        <v>0</v>
      </c>
      <c r="DH46">
        <f>Source!I47*SmtRes!Y46</f>
        <v>2</v>
      </c>
      <c r="DI46">
        <f>AA46</f>
        <v>311.23</v>
      </c>
      <c r="DJ46">
        <f>DF46</f>
        <v>622</v>
      </c>
      <c r="DK46">
        <f>Source!BC47</f>
        <v>1</v>
      </c>
      <c r="DL46" t="s">
        <v>3</v>
      </c>
      <c r="DM46">
        <v>0</v>
      </c>
      <c r="DN46" t="s">
        <v>3</v>
      </c>
      <c r="DO46">
        <v>0</v>
      </c>
      <c r="GP46">
        <v>1</v>
      </c>
      <c r="GQ46">
        <v>-1</v>
      </c>
      <c r="GR46">
        <v>-1</v>
      </c>
    </row>
    <row r="47" spans="1:200" x14ac:dyDescent="0.2">
      <c r="A47">
        <f>ROW(Source!A48)</f>
        <v>48</v>
      </c>
      <c r="B47">
        <v>71570244</v>
      </c>
      <c r="C47">
        <v>71570355</v>
      </c>
      <c r="D47">
        <v>27493458</v>
      </c>
      <c r="E47">
        <v>1</v>
      </c>
      <c r="F47">
        <v>1</v>
      </c>
      <c r="G47">
        <v>1</v>
      </c>
      <c r="H47">
        <v>1</v>
      </c>
      <c r="I47" t="s">
        <v>249</v>
      </c>
      <c r="J47" t="s">
        <v>3</v>
      </c>
      <c r="K47" t="s">
        <v>250</v>
      </c>
      <c r="L47">
        <v>1369</v>
      </c>
      <c r="N47">
        <v>1013</v>
      </c>
      <c r="O47" t="s">
        <v>225</v>
      </c>
      <c r="P47" t="s">
        <v>225</v>
      </c>
      <c r="Q47">
        <v>1</v>
      </c>
      <c r="W47">
        <v>0</v>
      </c>
      <c r="X47">
        <v>-115882720</v>
      </c>
      <c r="Y47">
        <f t="shared" si="0"/>
        <v>69</v>
      </c>
      <c r="AA47">
        <v>0</v>
      </c>
      <c r="AB47">
        <v>0</v>
      </c>
      <c r="AC47">
        <v>0</v>
      </c>
      <c r="AD47">
        <v>326.8</v>
      </c>
      <c r="AE47">
        <v>0</v>
      </c>
      <c r="AF47">
        <v>0</v>
      </c>
      <c r="AG47">
        <v>0</v>
      </c>
      <c r="AH47">
        <v>8.6</v>
      </c>
      <c r="AI47">
        <v>1</v>
      </c>
      <c r="AJ47">
        <v>1</v>
      </c>
      <c r="AK47">
        <v>1</v>
      </c>
      <c r="AL47">
        <v>38</v>
      </c>
      <c r="AM47">
        <v>5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</v>
      </c>
      <c r="AT47">
        <v>69</v>
      </c>
      <c r="AU47" t="s">
        <v>3</v>
      </c>
      <c r="AV47">
        <v>1</v>
      </c>
      <c r="AW47">
        <v>2</v>
      </c>
      <c r="AX47">
        <v>71570358</v>
      </c>
      <c r="AY47">
        <v>1</v>
      </c>
      <c r="AZ47">
        <v>0</v>
      </c>
      <c r="BA47">
        <v>60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U47">
        <f>ROUND(AT47*Source!I48*AH47*AL47,0)</f>
        <v>451</v>
      </c>
      <c r="CV47">
        <f>ROUND(Y47*Source!I48,9)</f>
        <v>1.38</v>
      </c>
      <c r="CW47">
        <v>0</v>
      </c>
      <c r="CX47">
        <f>ROUND(Y47*Source!I48,9)</f>
        <v>1.38</v>
      </c>
      <c r="CY47">
        <f>AD47</f>
        <v>326.8</v>
      </c>
      <c r="CZ47">
        <f>AH47</f>
        <v>8.6</v>
      </c>
      <c r="DA47">
        <f>AL47</f>
        <v>38</v>
      </c>
      <c r="DB47">
        <f t="shared" si="1"/>
        <v>593.4</v>
      </c>
      <c r="DC47">
        <f t="shared" si="2"/>
        <v>0</v>
      </c>
      <c r="DD47" t="s">
        <v>3</v>
      </c>
      <c r="DE47" t="s">
        <v>3</v>
      </c>
      <c r="DF47">
        <f>ROUND(ROUND(AE47,0)*CX47,0)</f>
        <v>0</v>
      </c>
      <c r="DG47">
        <f t="shared" si="9"/>
        <v>0</v>
      </c>
      <c r="DH47">
        <f>Source!I48*SmtRes!Y47</f>
        <v>1.3800000000000001</v>
      </c>
      <c r="DI47">
        <f>AD47</f>
        <v>326.8</v>
      </c>
      <c r="DJ47">
        <f>EtalonRes!AB60</f>
        <v>8.6</v>
      </c>
      <c r="DK47">
        <f>Source!BA48</f>
        <v>38</v>
      </c>
      <c r="DL47" t="s">
        <v>3</v>
      </c>
      <c r="DM47">
        <v>0</v>
      </c>
      <c r="DN47" t="s">
        <v>3</v>
      </c>
      <c r="DO47">
        <v>0</v>
      </c>
      <c r="GQ47">
        <v>-1</v>
      </c>
      <c r="GR47">
        <v>-1</v>
      </c>
    </row>
    <row r="48" spans="1:200" x14ac:dyDescent="0.2">
      <c r="A48">
        <f>ROW(Source!A48)</f>
        <v>48</v>
      </c>
      <c r="B48">
        <v>71570244</v>
      </c>
      <c r="C48">
        <v>71570355</v>
      </c>
      <c r="D48">
        <v>27376019</v>
      </c>
      <c r="E48">
        <v>1</v>
      </c>
      <c r="F48">
        <v>1</v>
      </c>
      <c r="G48">
        <v>1</v>
      </c>
      <c r="H48">
        <v>3</v>
      </c>
      <c r="I48" t="s">
        <v>92</v>
      </c>
      <c r="J48" t="s">
        <v>94</v>
      </c>
      <c r="K48" t="s">
        <v>93</v>
      </c>
      <c r="L48">
        <v>1354</v>
      </c>
      <c r="N48">
        <v>1010</v>
      </c>
      <c r="O48" t="s">
        <v>69</v>
      </c>
      <c r="P48" t="s">
        <v>69</v>
      </c>
      <c r="Q48">
        <v>1</v>
      </c>
      <c r="W48">
        <v>0</v>
      </c>
      <c r="X48">
        <v>-1835971028</v>
      </c>
      <c r="Y48">
        <f t="shared" si="0"/>
        <v>100</v>
      </c>
      <c r="AA48">
        <v>600</v>
      </c>
      <c r="AB48">
        <v>0</v>
      </c>
      <c r="AC48">
        <v>0</v>
      </c>
      <c r="AD48">
        <v>0</v>
      </c>
      <c r="AE48">
        <v>83.47</v>
      </c>
      <c r="AF48">
        <v>0</v>
      </c>
      <c r="AG48">
        <v>0</v>
      </c>
      <c r="AH48">
        <v>0</v>
      </c>
      <c r="AI48">
        <v>7.56</v>
      </c>
      <c r="AJ48">
        <v>1</v>
      </c>
      <c r="AK48">
        <v>1</v>
      </c>
      <c r="AL48">
        <v>1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3</v>
      </c>
      <c r="AT48">
        <v>100</v>
      </c>
      <c r="AU48" t="s">
        <v>3</v>
      </c>
      <c r="AV48">
        <v>0</v>
      </c>
      <c r="AW48">
        <v>1</v>
      </c>
      <c r="AX48">
        <v>-1</v>
      </c>
      <c r="AY48">
        <v>0</v>
      </c>
      <c r="AZ48">
        <v>0</v>
      </c>
      <c r="BA48" t="s">
        <v>3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ROUND(Y48*Source!I48,9)</f>
        <v>2</v>
      </c>
      <c r="CY48">
        <f>AA48</f>
        <v>600</v>
      </c>
      <c r="CZ48">
        <f>AE48</f>
        <v>83.47</v>
      </c>
      <c r="DA48">
        <f>AI48</f>
        <v>7.56</v>
      </c>
      <c r="DB48">
        <f t="shared" si="1"/>
        <v>8347</v>
      </c>
      <c r="DC48">
        <f t="shared" si="2"/>
        <v>0</v>
      </c>
      <c r="DD48" t="s">
        <v>3</v>
      </c>
      <c r="DE48" t="s">
        <v>3</v>
      </c>
      <c r="DF48">
        <f>ROUND(ROUND(AE48*AI48,0)*CX48,0)</f>
        <v>1262</v>
      </c>
      <c r="DG48">
        <f t="shared" si="9"/>
        <v>0</v>
      </c>
      <c r="DH48">
        <f>Source!I48*SmtRes!Y48</f>
        <v>2</v>
      </c>
      <c r="DI48">
        <f>AA48</f>
        <v>600</v>
      </c>
      <c r="DJ48">
        <f>DF48</f>
        <v>1262</v>
      </c>
      <c r="DK48">
        <f>Source!BC48</f>
        <v>7.56</v>
      </c>
      <c r="DL48" t="s">
        <v>3</v>
      </c>
      <c r="DM48">
        <v>0</v>
      </c>
      <c r="DN48" t="s">
        <v>3</v>
      </c>
      <c r="DO48">
        <v>0</v>
      </c>
      <c r="GP48">
        <v>1</v>
      </c>
      <c r="GQ48">
        <v>-1</v>
      </c>
      <c r="GR48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ROW(Source!A25)</f>
        <v>25</v>
      </c>
      <c r="B1">
        <v>71570316</v>
      </c>
      <c r="C1">
        <v>71570309</v>
      </c>
      <c r="D1">
        <v>27496249</v>
      </c>
      <c r="E1">
        <v>1</v>
      </c>
      <c r="F1">
        <v>1</v>
      </c>
      <c r="G1">
        <v>1</v>
      </c>
      <c r="H1">
        <v>1</v>
      </c>
      <c r="I1" t="s">
        <v>223</v>
      </c>
      <c r="J1" t="s">
        <v>3</v>
      </c>
      <c r="K1" t="s">
        <v>224</v>
      </c>
      <c r="L1">
        <v>1369</v>
      </c>
      <c r="N1">
        <v>1013</v>
      </c>
      <c r="O1" t="s">
        <v>225</v>
      </c>
      <c r="P1" t="s">
        <v>225</v>
      </c>
      <c r="Q1">
        <v>1</v>
      </c>
      <c r="X1">
        <v>3.66</v>
      </c>
      <c r="Y1">
        <v>0</v>
      </c>
      <c r="Z1">
        <v>0</v>
      </c>
      <c r="AA1">
        <v>0</v>
      </c>
      <c r="AB1">
        <v>7.74</v>
      </c>
      <c r="AC1">
        <v>0</v>
      </c>
      <c r="AD1">
        <v>1</v>
      </c>
      <c r="AE1">
        <v>1</v>
      </c>
      <c r="AF1" t="s">
        <v>3</v>
      </c>
      <c r="AG1">
        <v>3.66</v>
      </c>
      <c r="AH1">
        <v>2</v>
      </c>
      <c r="AI1">
        <v>71570310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ROW(Source!A25)</f>
        <v>25</v>
      </c>
      <c r="B2">
        <v>71570317</v>
      </c>
      <c r="C2">
        <v>71570309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40</v>
      </c>
      <c r="J2" t="s">
        <v>3</v>
      </c>
      <c r="K2" t="s">
        <v>226</v>
      </c>
      <c r="L2">
        <v>608254</v>
      </c>
      <c r="N2">
        <v>1013</v>
      </c>
      <c r="O2" t="s">
        <v>227</v>
      </c>
      <c r="P2" t="s">
        <v>227</v>
      </c>
      <c r="Q2">
        <v>1</v>
      </c>
      <c r="X2">
        <v>2.04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2.04</v>
      </c>
      <c r="AH2">
        <v>2</v>
      </c>
      <c r="AI2">
        <v>71570311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ROW(Source!A25)</f>
        <v>25</v>
      </c>
      <c r="B3">
        <v>71570318</v>
      </c>
      <c r="C3">
        <v>71570309</v>
      </c>
      <c r="D3">
        <v>27440142</v>
      </c>
      <c r="E3">
        <v>1</v>
      </c>
      <c r="F3">
        <v>1</v>
      </c>
      <c r="G3">
        <v>1</v>
      </c>
      <c r="H3">
        <v>2</v>
      </c>
      <c r="I3" t="s">
        <v>228</v>
      </c>
      <c r="J3" t="s">
        <v>229</v>
      </c>
      <c r="K3" t="s">
        <v>230</v>
      </c>
      <c r="L3">
        <v>1368</v>
      </c>
      <c r="N3">
        <v>1011</v>
      </c>
      <c r="O3" t="s">
        <v>231</v>
      </c>
      <c r="P3" t="s">
        <v>231</v>
      </c>
      <c r="Q3">
        <v>1</v>
      </c>
      <c r="X3">
        <v>1.01</v>
      </c>
      <c r="Y3">
        <v>0</v>
      </c>
      <c r="Z3">
        <v>54.5</v>
      </c>
      <c r="AA3">
        <v>13.61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1.01</v>
      </c>
      <c r="AH3">
        <v>2</v>
      </c>
      <c r="AI3">
        <v>71570312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ROW(Source!A25)</f>
        <v>25</v>
      </c>
      <c r="B4">
        <v>71570319</v>
      </c>
      <c r="C4">
        <v>71570309</v>
      </c>
      <c r="D4">
        <v>27440145</v>
      </c>
      <c r="E4">
        <v>1</v>
      </c>
      <c r="F4">
        <v>1</v>
      </c>
      <c r="G4">
        <v>1</v>
      </c>
      <c r="H4">
        <v>2</v>
      </c>
      <c r="I4" t="s">
        <v>232</v>
      </c>
      <c r="J4" t="s">
        <v>233</v>
      </c>
      <c r="K4" t="s">
        <v>234</v>
      </c>
      <c r="L4">
        <v>1368</v>
      </c>
      <c r="N4">
        <v>1011</v>
      </c>
      <c r="O4" t="s">
        <v>231</v>
      </c>
      <c r="P4" t="s">
        <v>231</v>
      </c>
      <c r="Q4">
        <v>1</v>
      </c>
      <c r="X4">
        <v>1.03</v>
      </c>
      <c r="Y4">
        <v>0</v>
      </c>
      <c r="Z4">
        <v>109.42</v>
      </c>
      <c r="AA4">
        <v>11.69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1.03</v>
      </c>
      <c r="AH4">
        <v>2</v>
      </c>
      <c r="AI4">
        <v>71570313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ROW(Source!A25)</f>
        <v>25</v>
      </c>
      <c r="B5">
        <v>71570320</v>
      </c>
      <c r="C5">
        <v>71570309</v>
      </c>
      <c r="D5">
        <v>27372027</v>
      </c>
      <c r="E5">
        <v>1</v>
      </c>
      <c r="F5">
        <v>1</v>
      </c>
      <c r="G5">
        <v>1</v>
      </c>
      <c r="H5">
        <v>3</v>
      </c>
      <c r="I5" t="s">
        <v>31</v>
      </c>
      <c r="J5" t="s">
        <v>34</v>
      </c>
      <c r="K5" t="s">
        <v>32</v>
      </c>
      <c r="L5">
        <v>1348</v>
      </c>
      <c r="N5">
        <v>1009</v>
      </c>
      <c r="O5" t="s">
        <v>33</v>
      </c>
      <c r="P5" t="s">
        <v>33</v>
      </c>
      <c r="Q5">
        <v>1000</v>
      </c>
      <c r="X5">
        <v>8.0000000000000004E-4</v>
      </c>
      <c r="Y5">
        <v>40650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8.0000000000000004E-4</v>
      </c>
      <c r="AH5">
        <v>2</v>
      </c>
      <c r="AI5">
        <v>71570314</v>
      </c>
      <c r="AJ5">
        <v>5</v>
      </c>
      <c r="AK5">
        <v>3</v>
      </c>
      <c r="AL5">
        <v>-32.520000000000003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</row>
    <row r="6" spans="1:44" x14ac:dyDescent="0.2">
      <c r="A6">
        <f>ROW(Source!A25)</f>
        <v>25</v>
      </c>
      <c r="B6">
        <v>71570321</v>
      </c>
      <c r="C6">
        <v>71570309</v>
      </c>
      <c r="D6">
        <v>27387240</v>
      </c>
      <c r="E6">
        <v>1</v>
      </c>
      <c r="F6">
        <v>1</v>
      </c>
      <c r="G6">
        <v>1</v>
      </c>
      <c r="H6">
        <v>3</v>
      </c>
      <c r="I6" t="s">
        <v>42</v>
      </c>
      <c r="J6" t="s">
        <v>44</v>
      </c>
      <c r="K6" t="s">
        <v>251</v>
      </c>
      <c r="L6">
        <v>1348</v>
      </c>
      <c r="N6">
        <v>1009</v>
      </c>
      <c r="O6" t="s">
        <v>33</v>
      </c>
      <c r="P6" t="s">
        <v>33</v>
      </c>
      <c r="Q6">
        <v>1000</v>
      </c>
      <c r="X6">
        <v>4.2000000000000003E-2</v>
      </c>
      <c r="Y6">
        <v>24950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4.2000000000000003E-2</v>
      </c>
      <c r="AH6">
        <v>2</v>
      </c>
      <c r="AI6">
        <v>71570315</v>
      </c>
      <c r="AJ6">
        <v>6</v>
      </c>
      <c r="AK6">
        <v>3</v>
      </c>
      <c r="AL6">
        <v>-1047.9000000000001</v>
      </c>
      <c r="AM6">
        <v>0</v>
      </c>
      <c r="AN6">
        <v>0</v>
      </c>
      <c r="AO6">
        <v>0</v>
      </c>
      <c r="AP6">
        <v>0</v>
      </c>
      <c r="AQ6">
        <v>0</v>
      </c>
      <c r="AR6">
        <v>1</v>
      </c>
    </row>
    <row r="7" spans="1:44" x14ac:dyDescent="0.2">
      <c r="A7">
        <f>ROW(Source!A26)</f>
        <v>26</v>
      </c>
      <c r="B7">
        <v>71570316</v>
      </c>
      <c r="C7">
        <v>71570309</v>
      </c>
      <c r="D7">
        <v>27496249</v>
      </c>
      <c r="E7">
        <v>1</v>
      </c>
      <c r="F7">
        <v>1</v>
      </c>
      <c r="G7">
        <v>1</v>
      </c>
      <c r="H7">
        <v>1</v>
      </c>
      <c r="I7" t="s">
        <v>223</v>
      </c>
      <c r="J7" t="s">
        <v>3</v>
      </c>
      <c r="K7" t="s">
        <v>224</v>
      </c>
      <c r="L7">
        <v>1369</v>
      </c>
      <c r="N7">
        <v>1013</v>
      </c>
      <c r="O7" t="s">
        <v>225</v>
      </c>
      <c r="P7" t="s">
        <v>225</v>
      </c>
      <c r="Q7">
        <v>1</v>
      </c>
      <c r="X7">
        <v>3.66</v>
      </c>
      <c r="Y7">
        <v>0</v>
      </c>
      <c r="Z7">
        <v>0</v>
      </c>
      <c r="AA7">
        <v>0</v>
      </c>
      <c r="AB7">
        <v>7.74</v>
      </c>
      <c r="AC7">
        <v>0</v>
      </c>
      <c r="AD7">
        <v>1</v>
      </c>
      <c r="AE7">
        <v>1</v>
      </c>
      <c r="AF7" t="s">
        <v>3</v>
      </c>
      <c r="AG7">
        <v>3.66</v>
      </c>
      <c r="AH7">
        <v>2</v>
      </c>
      <c r="AI7">
        <v>71570310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ROW(Source!A26)</f>
        <v>26</v>
      </c>
      <c r="B8">
        <v>71570317</v>
      </c>
      <c r="C8">
        <v>71570309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40</v>
      </c>
      <c r="J8" t="s">
        <v>3</v>
      </c>
      <c r="K8" t="s">
        <v>226</v>
      </c>
      <c r="L8">
        <v>608254</v>
      </c>
      <c r="N8">
        <v>1013</v>
      </c>
      <c r="O8" t="s">
        <v>227</v>
      </c>
      <c r="P8" t="s">
        <v>227</v>
      </c>
      <c r="Q8">
        <v>1</v>
      </c>
      <c r="X8">
        <v>2.04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3</v>
      </c>
      <c r="AG8">
        <v>2.04</v>
      </c>
      <c r="AH8">
        <v>2</v>
      </c>
      <c r="AI8">
        <v>71570311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ROW(Source!A26)</f>
        <v>26</v>
      </c>
      <c r="B9">
        <v>71570318</v>
      </c>
      <c r="C9">
        <v>71570309</v>
      </c>
      <c r="D9">
        <v>27440142</v>
      </c>
      <c r="E9">
        <v>1</v>
      </c>
      <c r="F9">
        <v>1</v>
      </c>
      <c r="G9">
        <v>1</v>
      </c>
      <c r="H9">
        <v>2</v>
      </c>
      <c r="I9" t="s">
        <v>228</v>
      </c>
      <c r="J9" t="s">
        <v>229</v>
      </c>
      <c r="K9" t="s">
        <v>230</v>
      </c>
      <c r="L9">
        <v>1368</v>
      </c>
      <c r="N9">
        <v>1011</v>
      </c>
      <c r="O9" t="s">
        <v>231</v>
      </c>
      <c r="P9" t="s">
        <v>231</v>
      </c>
      <c r="Q9">
        <v>1</v>
      </c>
      <c r="X9">
        <v>1.01</v>
      </c>
      <c r="Y9">
        <v>0</v>
      </c>
      <c r="Z9">
        <v>54.5</v>
      </c>
      <c r="AA9">
        <v>13.61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1.01</v>
      </c>
      <c r="AH9">
        <v>2</v>
      </c>
      <c r="AI9">
        <v>71570312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ROW(Source!A26)</f>
        <v>26</v>
      </c>
      <c r="B10">
        <v>71570319</v>
      </c>
      <c r="C10">
        <v>71570309</v>
      </c>
      <c r="D10">
        <v>27440145</v>
      </c>
      <c r="E10">
        <v>1</v>
      </c>
      <c r="F10">
        <v>1</v>
      </c>
      <c r="G10">
        <v>1</v>
      </c>
      <c r="H10">
        <v>2</v>
      </c>
      <c r="I10" t="s">
        <v>232</v>
      </c>
      <c r="J10" t="s">
        <v>233</v>
      </c>
      <c r="K10" t="s">
        <v>234</v>
      </c>
      <c r="L10">
        <v>1368</v>
      </c>
      <c r="N10">
        <v>1011</v>
      </c>
      <c r="O10" t="s">
        <v>231</v>
      </c>
      <c r="P10" t="s">
        <v>231</v>
      </c>
      <c r="Q10">
        <v>1</v>
      </c>
      <c r="X10">
        <v>1.03</v>
      </c>
      <c r="Y10">
        <v>0</v>
      </c>
      <c r="Z10">
        <v>109.42</v>
      </c>
      <c r="AA10">
        <v>11.69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1.03</v>
      </c>
      <c r="AH10">
        <v>2</v>
      </c>
      <c r="AI10">
        <v>71570313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ROW(Source!A26)</f>
        <v>26</v>
      </c>
      <c r="B11">
        <v>71570320</v>
      </c>
      <c r="C11">
        <v>71570309</v>
      </c>
      <c r="D11">
        <v>27372027</v>
      </c>
      <c r="E11">
        <v>1</v>
      </c>
      <c r="F11">
        <v>1</v>
      </c>
      <c r="G11">
        <v>1</v>
      </c>
      <c r="H11">
        <v>3</v>
      </c>
      <c r="I11" t="s">
        <v>31</v>
      </c>
      <c r="J11" t="s">
        <v>34</v>
      </c>
      <c r="K11" t="s">
        <v>32</v>
      </c>
      <c r="L11">
        <v>1348</v>
      </c>
      <c r="N11">
        <v>1009</v>
      </c>
      <c r="O11" t="s">
        <v>33</v>
      </c>
      <c r="P11" t="s">
        <v>33</v>
      </c>
      <c r="Q11">
        <v>1000</v>
      </c>
      <c r="X11">
        <v>8.0000000000000004E-4</v>
      </c>
      <c r="Y11">
        <v>40650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8.0000000000000004E-4</v>
      </c>
      <c r="AH11">
        <v>2</v>
      </c>
      <c r="AI11">
        <v>71570314</v>
      </c>
      <c r="AJ11">
        <v>11</v>
      </c>
      <c r="AK11">
        <v>3</v>
      </c>
      <c r="AL11">
        <v>-32.520000000000003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1</v>
      </c>
    </row>
    <row r="12" spans="1:44" x14ac:dyDescent="0.2">
      <c r="A12">
        <f>ROW(Source!A26)</f>
        <v>26</v>
      </c>
      <c r="B12">
        <v>71570321</v>
      </c>
      <c r="C12">
        <v>71570309</v>
      </c>
      <c r="D12">
        <v>27387240</v>
      </c>
      <c r="E12">
        <v>1</v>
      </c>
      <c r="F12">
        <v>1</v>
      </c>
      <c r="G12">
        <v>1</v>
      </c>
      <c r="H12">
        <v>3</v>
      </c>
      <c r="I12" t="s">
        <v>42</v>
      </c>
      <c r="J12" t="s">
        <v>44</v>
      </c>
      <c r="K12" t="s">
        <v>251</v>
      </c>
      <c r="L12">
        <v>1348</v>
      </c>
      <c r="N12">
        <v>1009</v>
      </c>
      <c r="O12" t="s">
        <v>33</v>
      </c>
      <c r="P12" t="s">
        <v>33</v>
      </c>
      <c r="Q12">
        <v>1000</v>
      </c>
      <c r="X12">
        <v>4.2000000000000003E-2</v>
      </c>
      <c r="Y12">
        <v>24950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4.2000000000000003E-2</v>
      </c>
      <c r="AH12">
        <v>2</v>
      </c>
      <c r="AI12">
        <v>71570315</v>
      </c>
      <c r="AJ12">
        <v>12</v>
      </c>
      <c r="AK12">
        <v>3</v>
      </c>
      <c r="AL12">
        <v>-1047.9000000000001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1</v>
      </c>
    </row>
    <row r="13" spans="1:44" x14ac:dyDescent="0.2">
      <c r="A13">
        <f>ROW(Source!A31)</f>
        <v>31</v>
      </c>
      <c r="B13">
        <v>71714045</v>
      </c>
      <c r="C13">
        <v>71714038</v>
      </c>
      <c r="D13">
        <v>27496249</v>
      </c>
      <c r="E13">
        <v>1</v>
      </c>
      <c r="F13">
        <v>1</v>
      </c>
      <c r="G13">
        <v>1</v>
      </c>
      <c r="H13">
        <v>1</v>
      </c>
      <c r="I13" t="s">
        <v>223</v>
      </c>
      <c r="J13" t="s">
        <v>3</v>
      </c>
      <c r="K13" t="s">
        <v>224</v>
      </c>
      <c r="L13">
        <v>1369</v>
      </c>
      <c r="N13">
        <v>1013</v>
      </c>
      <c r="O13" t="s">
        <v>225</v>
      </c>
      <c r="P13" t="s">
        <v>225</v>
      </c>
      <c r="Q13">
        <v>1</v>
      </c>
      <c r="X13">
        <v>3.66</v>
      </c>
      <c r="Y13">
        <v>0</v>
      </c>
      <c r="Z13">
        <v>0</v>
      </c>
      <c r="AA13">
        <v>0</v>
      </c>
      <c r="AB13">
        <v>7.74</v>
      </c>
      <c r="AC13">
        <v>0</v>
      </c>
      <c r="AD13">
        <v>1</v>
      </c>
      <c r="AE13">
        <v>1</v>
      </c>
      <c r="AF13" t="s">
        <v>3</v>
      </c>
      <c r="AG13">
        <v>3.66</v>
      </c>
      <c r="AH13">
        <v>2</v>
      </c>
      <c r="AI13">
        <v>71714039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ROW(Source!A31)</f>
        <v>31</v>
      </c>
      <c r="B14">
        <v>71714046</v>
      </c>
      <c r="C14">
        <v>71714038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40</v>
      </c>
      <c r="J14" t="s">
        <v>3</v>
      </c>
      <c r="K14" t="s">
        <v>226</v>
      </c>
      <c r="L14">
        <v>608254</v>
      </c>
      <c r="N14">
        <v>1013</v>
      </c>
      <c r="O14" t="s">
        <v>227</v>
      </c>
      <c r="P14" t="s">
        <v>227</v>
      </c>
      <c r="Q14">
        <v>1</v>
      </c>
      <c r="X14">
        <v>2.04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 t="s">
        <v>3</v>
      </c>
      <c r="AG14">
        <v>2.04</v>
      </c>
      <c r="AH14">
        <v>2</v>
      </c>
      <c r="AI14">
        <v>71714040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ROW(Source!A31)</f>
        <v>31</v>
      </c>
      <c r="B15">
        <v>71714047</v>
      </c>
      <c r="C15">
        <v>71714038</v>
      </c>
      <c r="D15">
        <v>27440142</v>
      </c>
      <c r="E15">
        <v>1</v>
      </c>
      <c r="F15">
        <v>1</v>
      </c>
      <c r="G15">
        <v>1</v>
      </c>
      <c r="H15">
        <v>2</v>
      </c>
      <c r="I15" t="s">
        <v>228</v>
      </c>
      <c r="J15" t="s">
        <v>229</v>
      </c>
      <c r="K15" t="s">
        <v>230</v>
      </c>
      <c r="L15">
        <v>1368</v>
      </c>
      <c r="N15">
        <v>1011</v>
      </c>
      <c r="O15" t="s">
        <v>231</v>
      </c>
      <c r="P15" t="s">
        <v>231</v>
      </c>
      <c r="Q15">
        <v>1</v>
      </c>
      <c r="X15">
        <v>1.01</v>
      </c>
      <c r="Y15">
        <v>0</v>
      </c>
      <c r="Z15">
        <v>54.5</v>
      </c>
      <c r="AA15">
        <v>13.61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1.01</v>
      </c>
      <c r="AH15">
        <v>2</v>
      </c>
      <c r="AI15">
        <v>71714041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ROW(Source!A31)</f>
        <v>31</v>
      </c>
      <c r="B16">
        <v>71714048</v>
      </c>
      <c r="C16">
        <v>71714038</v>
      </c>
      <c r="D16">
        <v>27440145</v>
      </c>
      <c r="E16">
        <v>1</v>
      </c>
      <c r="F16">
        <v>1</v>
      </c>
      <c r="G16">
        <v>1</v>
      </c>
      <c r="H16">
        <v>2</v>
      </c>
      <c r="I16" t="s">
        <v>232</v>
      </c>
      <c r="J16" t="s">
        <v>233</v>
      </c>
      <c r="K16" t="s">
        <v>234</v>
      </c>
      <c r="L16">
        <v>1368</v>
      </c>
      <c r="N16">
        <v>1011</v>
      </c>
      <c r="O16" t="s">
        <v>231</v>
      </c>
      <c r="P16" t="s">
        <v>231</v>
      </c>
      <c r="Q16">
        <v>1</v>
      </c>
      <c r="X16">
        <v>1.03</v>
      </c>
      <c r="Y16">
        <v>0</v>
      </c>
      <c r="Z16">
        <v>109.42</v>
      </c>
      <c r="AA16">
        <v>11.69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1.03</v>
      </c>
      <c r="AH16">
        <v>2</v>
      </c>
      <c r="AI16">
        <v>71714042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ROW(Source!A31)</f>
        <v>31</v>
      </c>
      <c r="B17">
        <v>71714049</v>
      </c>
      <c r="C17">
        <v>71714038</v>
      </c>
      <c r="D17">
        <v>27372027</v>
      </c>
      <c r="E17">
        <v>1</v>
      </c>
      <c r="F17">
        <v>1</v>
      </c>
      <c r="G17">
        <v>1</v>
      </c>
      <c r="H17">
        <v>3</v>
      </c>
      <c r="I17" t="s">
        <v>31</v>
      </c>
      <c r="J17" t="s">
        <v>50</v>
      </c>
      <c r="K17" t="s">
        <v>32</v>
      </c>
      <c r="L17">
        <v>1348</v>
      </c>
      <c r="N17">
        <v>1009</v>
      </c>
      <c r="O17" t="s">
        <v>33</v>
      </c>
      <c r="P17" t="s">
        <v>33</v>
      </c>
      <c r="Q17">
        <v>1000</v>
      </c>
      <c r="X17">
        <v>8.0000000000000004E-4</v>
      </c>
      <c r="Y17">
        <v>40650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8.0000000000000004E-4</v>
      </c>
      <c r="AH17">
        <v>2</v>
      </c>
      <c r="AI17">
        <v>71714043</v>
      </c>
      <c r="AJ17">
        <v>17</v>
      </c>
      <c r="AK17">
        <v>3</v>
      </c>
      <c r="AL17">
        <v>-32.520000000000003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1</v>
      </c>
    </row>
    <row r="18" spans="1:44" x14ac:dyDescent="0.2">
      <c r="A18">
        <f>ROW(Source!A31)</f>
        <v>31</v>
      </c>
      <c r="B18">
        <v>71714050</v>
      </c>
      <c r="C18">
        <v>71714038</v>
      </c>
      <c r="D18">
        <v>27387240</v>
      </c>
      <c r="E18">
        <v>1</v>
      </c>
      <c r="F18">
        <v>1</v>
      </c>
      <c r="G18">
        <v>1</v>
      </c>
      <c r="H18">
        <v>3</v>
      </c>
      <c r="I18" t="s">
        <v>42</v>
      </c>
      <c r="J18" t="s">
        <v>55</v>
      </c>
      <c r="K18" t="s">
        <v>251</v>
      </c>
      <c r="L18">
        <v>1348</v>
      </c>
      <c r="N18">
        <v>1009</v>
      </c>
      <c r="O18" t="s">
        <v>33</v>
      </c>
      <c r="P18" t="s">
        <v>33</v>
      </c>
      <c r="Q18">
        <v>1000</v>
      </c>
      <c r="X18">
        <v>0.16800000000000001</v>
      </c>
      <c r="Y18">
        <v>24950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0.16800000000000001</v>
      </c>
      <c r="AH18">
        <v>2</v>
      </c>
      <c r="AI18">
        <v>71714044</v>
      </c>
      <c r="AJ18">
        <v>18</v>
      </c>
      <c r="AK18">
        <v>3</v>
      </c>
      <c r="AL18">
        <v>-4191.6000000000004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1</v>
      </c>
    </row>
    <row r="19" spans="1:44" x14ac:dyDescent="0.2">
      <c r="A19">
        <f>ROW(Source!A32)</f>
        <v>32</v>
      </c>
      <c r="B19">
        <v>71714045</v>
      </c>
      <c r="C19">
        <v>71714038</v>
      </c>
      <c r="D19">
        <v>27496249</v>
      </c>
      <c r="E19">
        <v>1</v>
      </c>
      <c r="F19">
        <v>1</v>
      </c>
      <c r="G19">
        <v>1</v>
      </c>
      <c r="H19">
        <v>1</v>
      </c>
      <c r="I19" t="s">
        <v>223</v>
      </c>
      <c r="J19" t="s">
        <v>3</v>
      </c>
      <c r="K19" t="s">
        <v>224</v>
      </c>
      <c r="L19">
        <v>1369</v>
      </c>
      <c r="N19">
        <v>1013</v>
      </c>
      <c r="O19" t="s">
        <v>225</v>
      </c>
      <c r="P19" t="s">
        <v>225</v>
      </c>
      <c r="Q19">
        <v>1</v>
      </c>
      <c r="X19">
        <v>3.66</v>
      </c>
      <c r="Y19">
        <v>0</v>
      </c>
      <c r="Z19">
        <v>0</v>
      </c>
      <c r="AA19">
        <v>0</v>
      </c>
      <c r="AB19">
        <v>7.74</v>
      </c>
      <c r="AC19">
        <v>0</v>
      </c>
      <c r="AD19">
        <v>1</v>
      </c>
      <c r="AE19">
        <v>1</v>
      </c>
      <c r="AF19" t="s">
        <v>3</v>
      </c>
      <c r="AG19">
        <v>3.66</v>
      </c>
      <c r="AH19">
        <v>2</v>
      </c>
      <c r="AI19">
        <v>71714039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ROW(Source!A32)</f>
        <v>32</v>
      </c>
      <c r="B20">
        <v>71714046</v>
      </c>
      <c r="C20">
        <v>71714038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40</v>
      </c>
      <c r="J20" t="s">
        <v>3</v>
      </c>
      <c r="K20" t="s">
        <v>226</v>
      </c>
      <c r="L20">
        <v>608254</v>
      </c>
      <c r="N20">
        <v>1013</v>
      </c>
      <c r="O20" t="s">
        <v>227</v>
      </c>
      <c r="P20" t="s">
        <v>227</v>
      </c>
      <c r="Q20">
        <v>1</v>
      </c>
      <c r="X20">
        <v>2.04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3</v>
      </c>
      <c r="AG20">
        <v>2.04</v>
      </c>
      <c r="AH20">
        <v>2</v>
      </c>
      <c r="AI20">
        <v>71714040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ROW(Source!A32)</f>
        <v>32</v>
      </c>
      <c r="B21">
        <v>71714047</v>
      </c>
      <c r="C21">
        <v>71714038</v>
      </c>
      <c r="D21">
        <v>27440142</v>
      </c>
      <c r="E21">
        <v>1</v>
      </c>
      <c r="F21">
        <v>1</v>
      </c>
      <c r="G21">
        <v>1</v>
      </c>
      <c r="H21">
        <v>2</v>
      </c>
      <c r="I21" t="s">
        <v>228</v>
      </c>
      <c r="J21" t="s">
        <v>229</v>
      </c>
      <c r="K21" t="s">
        <v>230</v>
      </c>
      <c r="L21">
        <v>1368</v>
      </c>
      <c r="N21">
        <v>1011</v>
      </c>
      <c r="O21" t="s">
        <v>231</v>
      </c>
      <c r="P21" t="s">
        <v>231</v>
      </c>
      <c r="Q21">
        <v>1</v>
      </c>
      <c r="X21">
        <v>1.01</v>
      </c>
      <c r="Y21">
        <v>0</v>
      </c>
      <c r="Z21">
        <v>54.5</v>
      </c>
      <c r="AA21">
        <v>13.61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1.01</v>
      </c>
      <c r="AH21">
        <v>2</v>
      </c>
      <c r="AI21">
        <v>71714041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ROW(Source!A32)</f>
        <v>32</v>
      </c>
      <c r="B22">
        <v>71714048</v>
      </c>
      <c r="C22">
        <v>71714038</v>
      </c>
      <c r="D22">
        <v>27440145</v>
      </c>
      <c r="E22">
        <v>1</v>
      </c>
      <c r="F22">
        <v>1</v>
      </c>
      <c r="G22">
        <v>1</v>
      </c>
      <c r="H22">
        <v>2</v>
      </c>
      <c r="I22" t="s">
        <v>232</v>
      </c>
      <c r="J22" t="s">
        <v>233</v>
      </c>
      <c r="K22" t="s">
        <v>234</v>
      </c>
      <c r="L22">
        <v>1368</v>
      </c>
      <c r="N22">
        <v>1011</v>
      </c>
      <c r="O22" t="s">
        <v>231</v>
      </c>
      <c r="P22" t="s">
        <v>231</v>
      </c>
      <c r="Q22">
        <v>1</v>
      </c>
      <c r="X22">
        <v>1.03</v>
      </c>
      <c r="Y22">
        <v>0</v>
      </c>
      <c r="Z22">
        <v>109.42</v>
      </c>
      <c r="AA22">
        <v>11.69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1.03</v>
      </c>
      <c r="AH22">
        <v>2</v>
      </c>
      <c r="AI22">
        <v>71714042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ROW(Source!A32)</f>
        <v>32</v>
      </c>
      <c r="B23">
        <v>71714049</v>
      </c>
      <c r="C23">
        <v>71714038</v>
      </c>
      <c r="D23">
        <v>27372027</v>
      </c>
      <c r="E23">
        <v>1</v>
      </c>
      <c r="F23">
        <v>1</v>
      </c>
      <c r="G23">
        <v>1</v>
      </c>
      <c r="H23">
        <v>3</v>
      </c>
      <c r="I23" t="s">
        <v>31</v>
      </c>
      <c r="J23" t="s">
        <v>50</v>
      </c>
      <c r="K23" t="s">
        <v>32</v>
      </c>
      <c r="L23">
        <v>1348</v>
      </c>
      <c r="N23">
        <v>1009</v>
      </c>
      <c r="O23" t="s">
        <v>33</v>
      </c>
      <c r="P23" t="s">
        <v>33</v>
      </c>
      <c r="Q23">
        <v>1000</v>
      </c>
      <c r="X23">
        <v>8.0000000000000004E-4</v>
      </c>
      <c r="Y23">
        <v>40650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8.0000000000000004E-4</v>
      </c>
      <c r="AH23">
        <v>2</v>
      </c>
      <c r="AI23">
        <v>71714043</v>
      </c>
      <c r="AJ23">
        <v>23</v>
      </c>
      <c r="AK23">
        <v>3</v>
      </c>
      <c r="AL23">
        <v>-32.520000000000003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1</v>
      </c>
    </row>
    <row r="24" spans="1:44" x14ac:dyDescent="0.2">
      <c r="A24">
        <f>ROW(Source!A32)</f>
        <v>32</v>
      </c>
      <c r="B24">
        <v>71714050</v>
      </c>
      <c r="C24">
        <v>71714038</v>
      </c>
      <c r="D24">
        <v>27387240</v>
      </c>
      <c r="E24">
        <v>1</v>
      </c>
      <c r="F24">
        <v>1</v>
      </c>
      <c r="G24">
        <v>1</v>
      </c>
      <c r="H24">
        <v>3</v>
      </c>
      <c r="I24" t="s">
        <v>42</v>
      </c>
      <c r="J24" t="s">
        <v>55</v>
      </c>
      <c r="K24" t="s">
        <v>251</v>
      </c>
      <c r="L24">
        <v>1348</v>
      </c>
      <c r="N24">
        <v>1009</v>
      </c>
      <c r="O24" t="s">
        <v>33</v>
      </c>
      <c r="P24" t="s">
        <v>33</v>
      </c>
      <c r="Q24">
        <v>1000</v>
      </c>
      <c r="X24">
        <v>0.16800000000000001</v>
      </c>
      <c r="Y24">
        <v>24950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0.16800000000000001</v>
      </c>
      <c r="AH24">
        <v>2</v>
      </c>
      <c r="AI24">
        <v>71714044</v>
      </c>
      <c r="AJ24">
        <v>24</v>
      </c>
      <c r="AK24">
        <v>3</v>
      </c>
      <c r="AL24">
        <v>-4191.6000000000004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1</v>
      </c>
    </row>
    <row r="25" spans="1:44" x14ac:dyDescent="0.2">
      <c r="A25">
        <f>ROW(Source!A37)</f>
        <v>37</v>
      </c>
      <c r="B25">
        <v>71570335</v>
      </c>
      <c r="C25">
        <v>71570324</v>
      </c>
      <c r="D25">
        <v>27494941</v>
      </c>
      <c r="E25">
        <v>1</v>
      </c>
      <c r="F25">
        <v>1</v>
      </c>
      <c r="G25">
        <v>1</v>
      </c>
      <c r="H25">
        <v>1</v>
      </c>
      <c r="I25" t="s">
        <v>235</v>
      </c>
      <c r="J25" t="s">
        <v>3</v>
      </c>
      <c r="K25" t="s">
        <v>236</v>
      </c>
      <c r="L25">
        <v>1369</v>
      </c>
      <c r="N25">
        <v>1013</v>
      </c>
      <c r="O25" t="s">
        <v>225</v>
      </c>
      <c r="P25" t="s">
        <v>225</v>
      </c>
      <c r="Q25">
        <v>1</v>
      </c>
      <c r="X25">
        <v>407.37</v>
      </c>
      <c r="Y25">
        <v>0</v>
      </c>
      <c r="Z25">
        <v>0</v>
      </c>
      <c r="AA25">
        <v>0</v>
      </c>
      <c r="AB25">
        <v>8.5299999999999994</v>
      </c>
      <c r="AC25">
        <v>0</v>
      </c>
      <c r="AD25">
        <v>1</v>
      </c>
      <c r="AE25">
        <v>1</v>
      </c>
      <c r="AF25" t="s">
        <v>3</v>
      </c>
      <c r="AG25">
        <v>407.37</v>
      </c>
      <c r="AH25">
        <v>2</v>
      </c>
      <c r="AI25">
        <v>71570325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ROW(Source!A37)</f>
        <v>37</v>
      </c>
      <c r="B26">
        <v>71570336</v>
      </c>
      <c r="C26">
        <v>71570324</v>
      </c>
      <c r="D26">
        <v>121548</v>
      </c>
      <c r="E26">
        <v>1</v>
      </c>
      <c r="F26">
        <v>1</v>
      </c>
      <c r="G26">
        <v>1</v>
      </c>
      <c r="H26">
        <v>1</v>
      </c>
      <c r="I26" t="s">
        <v>40</v>
      </c>
      <c r="J26" t="s">
        <v>3</v>
      </c>
      <c r="K26" t="s">
        <v>226</v>
      </c>
      <c r="L26">
        <v>608254</v>
      </c>
      <c r="N26">
        <v>1013</v>
      </c>
      <c r="O26" t="s">
        <v>227</v>
      </c>
      <c r="P26" t="s">
        <v>227</v>
      </c>
      <c r="Q26">
        <v>1</v>
      </c>
      <c r="X26">
        <v>39.700000000000003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2</v>
      </c>
      <c r="AF26" t="s">
        <v>3</v>
      </c>
      <c r="AG26">
        <v>39.700000000000003</v>
      </c>
      <c r="AH26">
        <v>2</v>
      </c>
      <c r="AI26">
        <v>71570326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ROW(Source!A37)</f>
        <v>37</v>
      </c>
      <c r="B27">
        <v>71570337</v>
      </c>
      <c r="C27">
        <v>71570324</v>
      </c>
      <c r="D27">
        <v>27439499</v>
      </c>
      <c r="E27">
        <v>1</v>
      </c>
      <c r="F27">
        <v>1</v>
      </c>
      <c r="G27">
        <v>1</v>
      </c>
      <c r="H27">
        <v>2</v>
      </c>
      <c r="I27" t="s">
        <v>237</v>
      </c>
      <c r="J27" t="s">
        <v>238</v>
      </c>
      <c r="K27" t="s">
        <v>239</v>
      </c>
      <c r="L27">
        <v>1368</v>
      </c>
      <c r="N27">
        <v>1011</v>
      </c>
      <c r="O27" t="s">
        <v>231</v>
      </c>
      <c r="P27" t="s">
        <v>231</v>
      </c>
      <c r="Q27">
        <v>1</v>
      </c>
      <c r="X27">
        <v>26.82</v>
      </c>
      <c r="Y27">
        <v>0</v>
      </c>
      <c r="Z27">
        <v>112.67</v>
      </c>
      <c r="AA27">
        <v>13.61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26.82</v>
      </c>
      <c r="AH27">
        <v>2</v>
      </c>
      <c r="AI27">
        <v>71570327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ROW(Source!A37)</f>
        <v>37</v>
      </c>
      <c r="B28">
        <v>71570338</v>
      </c>
      <c r="C28">
        <v>71570324</v>
      </c>
      <c r="D28">
        <v>27439571</v>
      </c>
      <c r="E28">
        <v>1</v>
      </c>
      <c r="F28">
        <v>1</v>
      </c>
      <c r="G28">
        <v>1</v>
      </c>
      <c r="H28">
        <v>2</v>
      </c>
      <c r="I28" t="s">
        <v>240</v>
      </c>
      <c r="J28" t="s">
        <v>241</v>
      </c>
      <c r="K28" t="s">
        <v>242</v>
      </c>
      <c r="L28">
        <v>1368</v>
      </c>
      <c r="N28">
        <v>1011</v>
      </c>
      <c r="O28" t="s">
        <v>231</v>
      </c>
      <c r="P28" t="s">
        <v>231</v>
      </c>
      <c r="Q28">
        <v>1</v>
      </c>
      <c r="X28">
        <v>1.05</v>
      </c>
      <c r="Y28">
        <v>0</v>
      </c>
      <c r="Z28">
        <v>88.42</v>
      </c>
      <c r="AA28">
        <v>10.14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1.05</v>
      </c>
      <c r="AH28">
        <v>2</v>
      </c>
      <c r="AI28">
        <v>71570328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ROW(Source!A37)</f>
        <v>37</v>
      </c>
      <c r="B29">
        <v>71570339</v>
      </c>
      <c r="C29">
        <v>71570324</v>
      </c>
      <c r="D29">
        <v>27440482</v>
      </c>
      <c r="E29">
        <v>1</v>
      </c>
      <c r="F29">
        <v>1</v>
      </c>
      <c r="G29">
        <v>1</v>
      </c>
      <c r="H29">
        <v>2</v>
      </c>
      <c r="I29" t="s">
        <v>243</v>
      </c>
      <c r="J29" t="s">
        <v>244</v>
      </c>
      <c r="K29" t="s">
        <v>245</v>
      </c>
      <c r="L29">
        <v>1368</v>
      </c>
      <c r="N29">
        <v>1011</v>
      </c>
      <c r="O29" t="s">
        <v>231</v>
      </c>
      <c r="P29" t="s">
        <v>231</v>
      </c>
      <c r="Q29">
        <v>1</v>
      </c>
      <c r="X29">
        <v>11.83</v>
      </c>
      <c r="Y29">
        <v>0</v>
      </c>
      <c r="Z29">
        <v>135.22</v>
      </c>
      <c r="AA29">
        <v>11.69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11.83</v>
      </c>
      <c r="AH29">
        <v>2</v>
      </c>
      <c r="AI29">
        <v>71570329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ROW(Source!A37)</f>
        <v>37</v>
      </c>
      <c r="B30">
        <v>71570340</v>
      </c>
      <c r="C30">
        <v>71570324</v>
      </c>
      <c r="D30">
        <v>27441327</v>
      </c>
      <c r="E30">
        <v>1</v>
      </c>
      <c r="F30">
        <v>1</v>
      </c>
      <c r="G30">
        <v>1</v>
      </c>
      <c r="H30">
        <v>2</v>
      </c>
      <c r="I30" t="s">
        <v>246</v>
      </c>
      <c r="J30" t="s">
        <v>247</v>
      </c>
      <c r="K30" t="s">
        <v>248</v>
      </c>
      <c r="L30">
        <v>1368</v>
      </c>
      <c r="N30">
        <v>1011</v>
      </c>
      <c r="O30" t="s">
        <v>231</v>
      </c>
      <c r="P30" t="s">
        <v>231</v>
      </c>
      <c r="Q30">
        <v>1</v>
      </c>
      <c r="X30">
        <v>4.12</v>
      </c>
      <c r="Y30">
        <v>0</v>
      </c>
      <c r="Z30">
        <v>93.37</v>
      </c>
      <c r="AA30">
        <v>11.69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4.12</v>
      </c>
      <c r="AH30">
        <v>2</v>
      </c>
      <c r="AI30">
        <v>71570330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ROW(Source!A37)</f>
        <v>37</v>
      </c>
      <c r="B31">
        <v>71570341</v>
      </c>
      <c r="C31">
        <v>71570324</v>
      </c>
      <c r="D31">
        <v>27374369</v>
      </c>
      <c r="E31">
        <v>1</v>
      </c>
      <c r="F31">
        <v>1</v>
      </c>
      <c r="G31">
        <v>1</v>
      </c>
      <c r="H31">
        <v>3</v>
      </c>
      <c r="I31" t="s">
        <v>252</v>
      </c>
      <c r="J31" t="s">
        <v>253</v>
      </c>
      <c r="K31" t="s">
        <v>254</v>
      </c>
      <c r="L31">
        <v>1348</v>
      </c>
      <c r="N31">
        <v>1009</v>
      </c>
      <c r="O31" t="s">
        <v>33</v>
      </c>
      <c r="P31" t="s">
        <v>33</v>
      </c>
      <c r="Q31">
        <v>1000</v>
      </c>
      <c r="X31">
        <v>9.3999999999999997E-4</v>
      </c>
      <c r="Y31">
        <v>15209.71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9.3999999999999997E-4</v>
      </c>
      <c r="AH31">
        <v>3</v>
      </c>
      <c r="AI31">
        <v>-1</v>
      </c>
      <c r="AJ31" t="s">
        <v>3</v>
      </c>
      <c r="AK31">
        <v>4</v>
      </c>
      <c r="AL31">
        <v>-14.297127399999999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1</v>
      </c>
    </row>
    <row r="32" spans="1:44" x14ac:dyDescent="0.2">
      <c r="A32">
        <f>ROW(Source!A37)</f>
        <v>37</v>
      </c>
      <c r="B32">
        <v>71570342</v>
      </c>
      <c r="C32">
        <v>71570324</v>
      </c>
      <c r="D32">
        <v>27374626</v>
      </c>
      <c r="E32">
        <v>1</v>
      </c>
      <c r="F32">
        <v>1</v>
      </c>
      <c r="G32">
        <v>1</v>
      </c>
      <c r="H32">
        <v>3</v>
      </c>
      <c r="I32" t="s">
        <v>255</v>
      </c>
      <c r="J32" t="s">
        <v>256</v>
      </c>
      <c r="K32" t="s">
        <v>257</v>
      </c>
      <c r="L32">
        <v>1348</v>
      </c>
      <c r="N32">
        <v>1009</v>
      </c>
      <c r="O32" t="s">
        <v>33</v>
      </c>
      <c r="P32" t="s">
        <v>33</v>
      </c>
      <c r="Q32">
        <v>1000</v>
      </c>
      <c r="X32">
        <v>3.96E-3</v>
      </c>
      <c r="Y32">
        <v>20899.669999999998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3.96E-3</v>
      </c>
      <c r="AH32">
        <v>3</v>
      </c>
      <c r="AI32">
        <v>-1</v>
      </c>
      <c r="AJ32" t="s">
        <v>3</v>
      </c>
      <c r="AK32">
        <v>4</v>
      </c>
      <c r="AL32">
        <v>-82.762693199999987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1</v>
      </c>
    </row>
    <row r="33" spans="1:44" x14ac:dyDescent="0.2">
      <c r="A33">
        <f>ROW(Source!A37)</f>
        <v>37</v>
      </c>
      <c r="B33">
        <v>71570343</v>
      </c>
      <c r="C33">
        <v>71570324</v>
      </c>
      <c r="D33">
        <v>27377050</v>
      </c>
      <c r="E33">
        <v>1</v>
      </c>
      <c r="F33">
        <v>1</v>
      </c>
      <c r="G33">
        <v>1</v>
      </c>
      <c r="H33">
        <v>3</v>
      </c>
      <c r="I33" t="s">
        <v>258</v>
      </c>
      <c r="J33" t="s">
        <v>259</v>
      </c>
      <c r="K33" t="s">
        <v>260</v>
      </c>
      <c r="L33">
        <v>1348</v>
      </c>
      <c r="N33">
        <v>1009</v>
      </c>
      <c r="O33" t="s">
        <v>33</v>
      </c>
      <c r="P33" t="s">
        <v>33</v>
      </c>
      <c r="Q33">
        <v>1000</v>
      </c>
      <c r="X33">
        <v>0.11600000000000001</v>
      </c>
      <c r="Y33">
        <v>6024.94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0.11600000000000001</v>
      </c>
      <c r="AH33">
        <v>3</v>
      </c>
      <c r="AI33">
        <v>-1</v>
      </c>
      <c r="AJ33" t="s">
        <v>3</v>
      </c>
      <c r="AK33">
        <v>4</v>
      </c>
      <c r="AL33">
        <v>-698.89304000000004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1</v>
      </c>
    </row>
    <row r="34" spans="1:44" x14ac:dyDescent="0.2">
      <c r="A34">
        <f>ROW(Source!A37)</f>
        <v>37</v>
      </c>
      <c r="B34">
        <v>71570344</v>
      </c>
      <c r="C34">
        <v>71570324</v>
      </c>
      <c r="D34">
        <v>27374692</v>
      </c>
      <c r="E34">
        <v>1</v>
      </c>
      <c r="F34">
        <v>1</v>
      </c>
      <c r="G34">
        <v>1</v>
      </c>
      <c r="H34">
        <v>3</v>
      </c>
      <c r="I34" t="s">
        <v>261</v>
      </c>
      <c r="J34" t="s">
        <v>262</v>
      </c>
      <c r="K34" t="s">
        <v>263</v>
      </c>
      <c r="L34">
        <v>1348</v>
      </c>
      <c r="N34">
        <v>1009</v>
      </c>
      <c r="O34" t="s">
        <v>33</v>
      </c>
      <c r="P34" t="s">
        <v>33</v>
      </c>
      <c r="Q34">
        <v>1000</v>
      </c>
      <c r="X34">
        <v>5.5999999999999995E-4</v>
      </c>
      <c r="Y34">
        <v>10465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5.5999999999999995E-4</v>
      </c>
      <c r="AH34">
        <v>3</v>
      </c>
      <c r="AI34">
        <v>-1</v>
      </c>
      <c r="AJ34" t="s">
        <v>3</v>
      </c>
      <c r="AK34">
        <v>4</v>
      </c>
      <c r="AL34">
        <v>-5.8603999999999994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1</v>
      </c>
    </row>
    <row r="35" spans="1:44" x14ac:dyDescent="0.2">
      <c r="A35">
        <f>ROW(Source!A37)</f>
        <v>37</v>
      </c>
      <c r="B35">
        <v>71570345</v>
      </c>
      <c r="C35">
        <v>71570324</v>
      </c>
      <c r="D35">
        <v>27379271</v>
      </c>
      <c r="E35">
        <v>1</v>
      </c>
      <c r="F35">
        <v>1</v>
      </c>
      <c r="G35">
        <v>1</v>
      </c>
      <c r="H35">
        <v>3</v>
      </c>
      <c r="I35" t="s">
        <v>264</v>
      </c>
      <c r="J35" t="s">
        <v>265</v>
      </c>
      <c r="K35" t="s">
        <v>266</v>
      </c>
      <c r="L35">
        <v>1354</v>
      </c>
      <c r="N35">
        <v>1010</v>
      </c>
      <c r="O35" t="s">
        <v>69</v>
      </c>
      <c r="P35" t="s">
        <v>69</v>
      </c>
      <c r="Q35">
        <v>1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 t="s">
        <v>3</v>
      </c>
      <c r="AG35">
        <v>0</v>
      </c>
      <c r="AH35">
        <v>3</v>
      </c>
      <c r="AI35">
        <v>-1</v>
      </c>
      <c r="AJ35" t="s">
        <v>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ROW(Source!A37)</f>
        <v>37</v>
      </c>
      <c r="B36">
        <v>71570346</v>
      </c>
      <c r="C36">
        <v>71570324</v>
      </c>
      <c r="D36">
        <v>27385871</v>
      </c>
      <c r="E36">
        <v>1</v>
      </c>
      <c r="F36">
        <v>1</v>
      </c>
      <c r="G36">
        <v>1</v>
      </c>
      <c r="H36">
        <v>3</v>
      </c>
      <c r="I36" t="s">
        <v>267</v>
      </c>
      <c r="J36" t="s">
        <v>268</v>
      </c>
      <c r="K36" t="s">
        <v>269</v>
      </c>
      <c r="L36">
        <v>1348</v>
      </c>
      <c r="N36">
        <v>1009</v>
      </c>
      <c r="O36" t="s">
        <v>33</v>
      </c>
      <c r="P36" t="s">
        <v>33</v>
      </c>
      <c r="Q36">
        <v>1000</v>
      </c>
      <c r="X36">
        <v>1</v>
      </c>
      <c r="Y36">
        <v>11255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</v>
      </c>
      <c r="AH36">
        <v>3</v>
      </c>
      <c r="AI36">
        <v>-1</v>
      </c>
      <c r="AJ36" t="s">
        <v>3</v>
      </c>
      <c r="AK36">
        <v>4</v>
      </c>
      <c r="AL36">
        <v>-11255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1</v>
      </c>
    </row>
    <row r="37" spans="1:44" x14ac:dyDescent="0.2">
      <c r="A37">
        <f>ROW(Source!A37)</f>
        <v>37</v>
      </c>
      <c r="B37">
        <v>71570347</v>
      </c>
      <c r="C37">
        <v>71570324</v>
      </c>
      <c r="D37">
        <v>27386415</v>
      </c>
      <c r="E37">
        <v>1</v>
      </c>
      <c r="F37">
        <v>1</v>
      </c>
      <c r="G37">
        <v>1</v>
      </c>
      <c r="H37">
        <v>3</v>
      </c>
      <c r="I37" t="s">
        <v>270</v>
      </c>
      <c r="J37" t="s">
        <v>271</v>
      </c>
      <c r="K37" t="s">
        <v>272</v>
      </c>
      <c r="L37">
        <v>1348</v>
      </c>
      <c r="N37">
        <v>1009</v>
      </c>
      <c r="O37" t="s">
        <v>33</v>
      </c>
      <c r="P37" t="s">
        <v>33</v>
      </c>
      <c r="Q37">
        <v>1000</v>
      </c>
      <c r="X37">
        <v>3.2000000000000002E-3</v>
      </c>
      <c r="Y37">
        <v>15620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3.2000000000000002E-3</v>
      </c>
      <c r="AH37">
        <v>3</v>
      </c>
      <c r="AI37">
        <v>-1</v>
      </c>
      <c r="AJ37" t="s">
        <v>3</v>
      </c>
      <c r="AK37">
        <v>4</v>
      </c>
      <c r="AL37">
        <v>-49.984000000000002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1</v>
      </c>
    </row>
    <row r="38" spans="1:44" x14ac:dyDescent="0.2">
      <c r="A38">
        <f>ROW(Source!A37)</f>
        <v>37</v>
      </c>
      <c r="B38">
        <v>71570348</v>
      </c>
      <c r="C38">
        <v>71570324</v>
      </c>
      <c r="D38">
        <v>27407568</v>
      </c>
      <c r="E38">
        <v>1</v>
      </c>
      <c r="F38">
        <v>1</v>
      </c>
      <c r="G38">
        <v>1</v>
      </c>
      <c r="H38">
        <v>3</v>
      </c>
      <c r="I38" t="s">
        <v>273</v>
      </c>
      <c r="J38" t="s">
        <v>274</v>
      </c>
      <c r="K38" t="s">
        <v>275</v>
      </c>
      <c r="L38">
        <v>1339</v>
      </c>
      <c r="N38">
        <v>1007</v>
      </c>
      <c r="O38" t="s">
        <v>75</v>
      </c>
      <c r="P38" t="s">
        <v>75</v>
      </c>
      <c r="Q38">
        <v>1</v>
      </c>
      <c r="X38">
        <v>5.66</v>
      </c>
      <c r="Y38">
        <v>540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5.66</v>
      </c>
      <c r="AH38">
        <v>3</v>
      </c>
      <c r="AI38">
        <v>-1</v>
      </c>
      <c r="AJ38" t="s">
        <v>3</v>
      </c>
      <c r="AK38">
        <v>4</v>
      </c>
      <c r="AL38">
        <v>-3056.4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1</v>
      </c>
    </row>
    <row r="39" spans="1:44" x14ac:dyDescent="0.2">
      <c r="A39">
        <f>ROW(Source!A37)</f>
        <v>37</v>
      </c>
      <c r="B39">
        <v>71570349</v>
      </c>
      <c r="C39">
        <v>71570324</v>
      </c>
      <c r="D39">
        <v>27414041</v>
      </c>
      <c r="E39">
        <v>1</v>
      </c>
      <c r="F39">
        <v>1</v>
      </c>
      <c r="G39">
        <v>1</v>
      </c>
      <c r="H39">
        <v>3</v>
      </c>
      <c r="I39" t="s">
        <v>276</v>
      </c>
      <c r="J39" t="s">
        <v>277</v>
      </c>
      <c r="K39" t="s">
        <v>278</v>
      </c>
      <c r="L39">
        <v>1339</v>
      </c>
      <c r="N39">
        <v>1007</v>
      </c>
      <c r="O39" t="s">
        <v>75</v>
      </c>
      <c r="P39" t="s">
        <v>75</v>
      </c>
      <c r="Q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1</v>
      </c>
      <c r="AD39">
        <v>0</v>
      </c>
      <c r="AE39">
        <v>0</v>
      </c>
      <c r="AF39" t="s">
        <v>3</v>
      </c>
      <c r="AG39">
        <v>0</v>
      </c>
      <c r="AH39">
        <v>3</v>
      </c>
      <c r="AI39">
        <v>-1</v>
      </c>
      <c r="AJ39" t="s">
        <v>3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ROW(Source!A37)</f>
        <v>37</v>
      </c>
      <c r="B40">
        <v>71570350</v>
      </c>
      <c r="C40">
        <v>71570324</v>
      </c>
      <c r="D40">
        <v>27416090</v>
      </c>
      <c r="E40">
        <v>1</v>
      </c>
      <c r="F40">
        <v>1</v>
      </c>
      <c r="G40">
        <v>1</v>
      </c>
      <c r="H40">
        <v>3</v>
      </c>
      <c r="I40" t="s">
        <v>279</v>
      </c>
      <c r="J40" t="s">
        <v>280</v>
      </c>
      <c r="K40" t="s">
        <v>281</v>
      </c>
      <c r="L40">
        <v>1339</v>
      </c>
      <c r="N40">
        <v>1007</v>
      </c>
      <c r="O40" t="s">
        <v>75</v>
      </c>
      <c r="P40" t="s">
        <v>75</v>
      </c>
      <c r="Q40">
        <v>1</v>
      </c>
      <c r="X40">
        <v>15.95</v>
      </c>
      <c r="Y40">
        <v>50.24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15.95</v>
      </c>
      <c r="AH40">
        <v>3</v>
      </c>
      <c r="AI40">
        <v>-1</v>
      </c>
      <c r="AJ40" t="s">
        <v>3</v>
      </c>
      <c r="AK40">
        <v>4</v>
      </c>
      <c r="AL40">
        <v>-801.32799999999997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1</v>
      </c>
    </row>
    <row r="41" spans="1:44" x14ac:dyDescent="0.2">
      <c r="A41">
        <f>ROW(Source!A38)</f>
        <v>38</v>
      </c>
      <c r="B41">
        <v>71570335</v>
      </c>
      <c r="C41">
        <v>71570324</v>
      </c>
      <c r="D41">
        <v>27494941</v>
      </c>
      <c r="E41">
        <v>1</v>
      </c>
      <c r="F41">
        <v>1</v>
      </c>
      <c r="G41">
        <v>1</v>
      </c>
      <c r="H41">
        <v>1</v>
      </c>
      <c r="I41" t="s">
        <v>235</v>
      </c>
      <c r="J41" t="s">
        <v>3</v>
      </c>
      <c r="K41" t="s">
        <v>236</v>
      </c>
      <c r="L41">
        <v>1369</v>
      </c>
      <c r="N41">
        <v>1013</v>
      </c>
      <c r="O41" t="s">
        <v>225</v>
      </c>
      <c r="P41" t="s">
        <v>225</v>
      </c>
      <c r="Q41">
        <v>1</v>
      </c>
      <c r="X41">
        <v>407.37</v>
      </c>
      <c r="Y41">
        <v>0</v>
      </c>
      <c r="Z41">
        <v>0</v>
      </c>
      <c r="AA41">
        <v>0</v>
      </c>
      <c r="AB41">
        <v>8.5299999999999994</v>
      </c>
      <c r="AC41">
        <v>0</v>
      </c>
      <c r="AD41">
        <v>1</v>
      </c>
      <c r="AE41">
        <v>1</v>
      </c>
      <c r="AF41" t="s">
        <v>3</v>
      </c>
      <c r="AG41">
        <v>407.37</v>
      </c>
      <c r="AH41">
        <v>2</v>
      </c>
      <c r="AI41">
        <v>71570325</v>
      </c>
      <c r="AJ41">
        <v>35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ROW(Source!A38)</f>
        <v>38</v>
      </c>
      <c r="B42">
        <v>71570336</v>
      </c>
      <c r="C42">
        <v>71570324</v>
      </c>
      <c r="D42">
        <v>121548</v>
      </c>
      <c r="E42">
        <v>1</v>
      </c>
      <c r="F42">
        <v>1</v>
      </c>
      <c r="G42">
        <v>1</v>
      </c>
      <c r="H42">
        <v>1</v>
      </c>
      <c r="I42" t="s">
        <v>40</v>
      </c>
      <c r="J42" t="s">
        <v>3</v>
      </c>
      <c r="K42" t="s">
        <v>226</v>
      </c>
      <c r="L42">
        <v>608254</v>
      </c>
      <c r="N42">
        <v>1013</v>
      </c>
      <c r="O42" t="s">
        <v>227</v>
      </c>
      <c r="P42" t="s">
        <v>227</v>
      </c>
      <c r="Q42">
        <v>1</v>
      </c>
      <c r="X42">
        <v>39.700000000000003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2</v>
      </c>
      <c r="AF42" t="s">
        <v>3</v>
      </c>
      <c r="AG42">
        <v>39.700000000000003</v>
      </c>
      <c r="AH42">
        <v>2</v>
      </c>
      <c r="AI42">
        <v>71570326</v>
      </c>
      <c r="AJ42">
        <v>36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ROW(Source!A38)</f>
        <v>38</v>
      </c>
      <c r="B43">
        <v>71570337</v>
      </c>
      <c r="C43">
        <v>71570324</v>
      </c>
      <c r="D43">
        <v>27439499</v>
      </c>
      <c r="E43">
        <v>1</v>
      </c>
      <c r="F43">
        <v>1</v>
      </c>
      <c r="G43">
        <v>1</v>
      </c>
      <c r="H43">
        <v>2</v>
      </c>
      <c r="I43" t="s">
        <v>237</v>
      </c>
      <c r="J43" t="s">
        <v>238</v>
      </c>
      <c r="K43" t="s">
        <v>239</v>
      </c>
      <c r="L43">
        <v>1368</v>
      </c>
      <c r="N43">
        <v>1011</v>
      </c>
      <c r="O43" t="s">
        <v>231</v>
      </c>
      <c r="P43" t="s">
        <v>231</v>
      </c>
      <c r="Q43">
        <v>1</v>
      </c>
      <c r="X43">
        <v>26.82</v>
      </c>
      <c r="Y43">
        <v>0</v>
      </c>
      <c r="Z43">
        <v>112.67</v>
      </c>
      <c r="AA43">
        <v>13.61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26.82</v>
      </c>
      <c r="AH43">
        <v>2</v>
      </c>
      <c r="AI43">
        <v>71570327</v>
      </c>
      <c r="AJ43">
        <v>37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ROW(Source!A38)</f>
        <v>38</v>
      </c>
      <c r="B44">
        <v>71570338</v>
      </c>
      <c r="C44">
        <v>71570324</v>
      </c>
      <c r="D44">
        <v>27439571</v>
      </c>
      <c r="E44">
        <v>1</v>
      </c>
      <c r="F44">
        <v>1</v>
      </c>
      <c r="G44">
        <v>1</v>
      </c>
      <c r="H44">
        <v>2</v>
      </c>
      <c r="I44" t="s">
        <v>240</v>
      </c>
      <c r="J44" t="s">
        <v>241</v>
      </c>
      <c r="K44" t="s">
        <v>242</v>
      </c>
      <c r="L44">
        <v>1368</v>
      </c>
      <c r="N44">
        <v>1011</v>
      </c>
      <c r="O44" t="s">
        <v>231</v>
      </c>
      <c r="P44" t="s">
        <v>231</v>
      </c>
      <c r="Q44">
        <v>1</v>
      </c>
      <c r="X44">
        <v>1.05</v>
      </c>
      <c r="Y44">
        <v>0</v>
      </c>
      <c r="Z44">
        <v>88.42</v>
      </c>
      <c r="AA44">
        <v>10.14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1.05</v>
      </c>
      <c r="AH44">
        <v>2</v>
      </c>
      <c r="AI44">
        <v>71570328</v>
      </c>
      <c r="AJ44">
        <v>38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ROW(Source!A38)</f>
        <v>38</v>
      </c>
      <c r="B45">
        <v>71570339</v>
      </c>
      <c r="C45">
        <v>71570324</v>
      </c>
      <c r="D45">
        <v>27440482</v>
      </c>
      <c r="E45">
        <v>1</v>
      </c>
      <c r="F45">
        <v>1</v>
      </c>
      <c r="G45">
        <v>1</v>
      </c>
      <c r="H45">
        <v>2</v>
      </c>
      <c r="I45" t="s">
        <v>243</v>
      </c>
      <c r="J45" t="s">
        <v>244</v>
      </c>
      <c r="K45" t="s">
        <v>245</v>
      </c>
      <c r="L45">
        <v>1368</v>
      </c>
      <c r="N45">
        <v>1011</v>
      </c>
      <c r="O45" t="s">
        <v>231</v>
      </c>
      <c r="P45" t="s">
        <v>231</v>
      </c>
      <c r="Q45">
        <v>1</v>
      </c>
      <c r="X45">
        <v>11.83</v>
      </c>
      <c r="Y45">
        <v>0</v>
      </c>
      <c r="Z45">
        <v>135.22</v>
      </c>
      <c r="AA45">
        <v>11.69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11.83</v>
      </c>
      <c r="AH45">
        <v>2</v>
      </c>
      <c r="AI45">
        <v>71570329</v>
      </c>
      <c r="AJ45">
        <v>39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ROW(Source!A38)</f>
        <v>38</v>
      </c>
      <c r="B46">
        <v>71570340</v>
      </c>
      <c r="C46">
        <v>71570324</v>
      </c>
      <c r="D46">
        <v>27441327</v>
      </c>
      <c r="E46">
        <v>1</v>
      </c>
      <c r="F46">
        <v>1</v>
      </c>
      <c r="G46">
        <v>1</v>
      </c>
      <c r="H46">
        <v>2</v>
      </c>
      <c r="I46" t="s">
        <v>246</v>
      </c>
      <c r="J46" t="s">
        <v>247</v>
      </c>
      <c r="K46" t="s">
        <v>248</v>
      </c>
      <c r="L46">
        <v>1368</v>
      </c>
      <c r="N46">
        <v>1011</v>
      </c>
      <c r="O46" t="s">
        <v>231</v>
      </c>
      <c r="P46" t="s">
        <v>231</v>
      </c>
      <c r="Q46">
        <v>1</v>
      </c>
      <c r="X46">
        <v>4.12</v>
      </c>
      <c r="Y46">
        <v>0</v>
      </c>
      <c r="Z46">
        <v>93.37</v>
      </c>
      <c r="AA46">
        <v>11.69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4.12</v>
      </c>
      <c r="AH46">
        <v>2</v>
      </c>
      <c r="AI46">
        <v>71570330</v>
      </c>
      <c r="AJ46">
        <v>40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ROW(Source!A38)</f>
        <v>38</v>
      </c>
      <c r="B47">
        <v>71570341</v>
      </c>
      <c r="C47">
        <v>71570324</v>
      </c>
      <c r="D47">
        <v>27374369</v>
      </c>
      <c r="E47">
        <v>1</v>
      </c>
      <c r="F47">
        <v>1</v>
      </c>
      <c r="G47">
        <v>1</v>
      </c>
      <c r="H47">
        <v>3</v>
      </c>
      <c r="I47" t="s">
        <v>252</v>
      </c>
      <c r="J47" t="s">
        <v>253</v>
      </c>
      <c r="K47" t="s">
        <v>254</v>
      </c>
      <c r="L47">
        <v>1348</v>
      </c>
      <c r="N47">
        <v>1009</v>
      </c>
      <c r="O47" t="s">
        <v>33</v>
      </c>
      <c r="P47" t="s">
        <v>33</v>
      </c>
      <c r="Q47">
        <v>1000</v>
      </c>
      <c r="X47">
        <v>9.3999999999999997E-4</v>
      </c>
      <c r="Y47">
        <v>15209.71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9.3999999999999997E-4</v>
      </c>
      <c r="AH47">
        <v>3</v>
      </c>
      <c r="AI47">
        <v>-1</v>
      </c>
      <c r="AJ47" t="s">
        <v>3</v>
      </c>
      <c r="AK47">
        <v>4</v>
      </c>
      <c r="AL47">
        <v>-14.297127399999999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1</v>
      </c>
    </row>
    <row r="48" spans="1:44" x14ac:dyDescent="0.2">
      <c r="A48">
        <f>ROW(Source!A38)</f>
        <v>38</v>
      </c>
      <c r="B48">
        <v>71570342</v>
      </c>
      <c r="C48">
        <v>71570324</v>
      </c>
      <c r="D48">
        <v>27374626</v>
      </c>
      <c r="E48">
        <v>1</v>
      </c>
      <c r="F48">
        <v>1</v>
      </c>
      <c r="G48">
        <v>1</v>
      </c>
      <c r="H48">
        <v>3</v>
      </c>
      <c r="I48" t="s">
        <v>255</v>
      </c>
      <c r="J48" t="s">
        <v>256</v>
      </c>
      <c r="K48" t="s">
        <v>257</v>
      </c>
      <c r="L48">
        <v>1348</v>
      </c>
      <c r="N48">
        <v>1009</v>
      </c>
      <c r="O48" t="s">
        <v>33</v>
      </c>
      <c r="P48" t="s">
        <v>33</v>
      </c>
      <c r="Q48">
        <v>1000</v>
      </c>
      <c r="X48">
        <v>3.96E-3</v>
      </c>
      <c r="Y48">
        <v>20899.669999999998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3.96E-3</v>
      </c>
      <c r="AH48">
        <v>3</v>
      </c>
      <c r="AI48">
        <v>-1</v>
      </c>
      <c r="AJ48" t="s">
        <v>3</v>
      </c>
      <c r="AK48">
        <v>4</v>
      </c>
      <c r="AL48">
        <v>-82.762693199999987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1</v>
      </c>
    </row>
    <row r="49" spans="1:44" x14ac:dyDescent="0.2">
      <c r="A49">
        <f>ROW(Source!A38)</f>
        <v>38</v>
      </c>
      <c r="B49">
        <v>71570343</v>
      </c>
      <c r="C49">
        <v>71570324</v>
      </c>
      <c r="D49">
        <v>27377050</v>
      </c>
      <c r="E49">
        <v>1</v>
      </c>
      <c r="F49">
        <v>1</v>
      </c>
      <c r="G49">
        <v>1</v>
      </c>
      <c r="H49">
        <v>3</v>
      </c>
      <c r="I49" t="s">
        <v>258</v>
      </c>
      <c r="J49" t="s">
        <v>259</v>
      </c>
      <c r="K49" t="s">
        <v>260</v>
      </c>
      <c r="L49">
        <v>1348</v>
      </c>
      <c r="N49">
        <v>1009</v>
      </c>
      <c r="O49" t="s">
        <v>33</v>
      </c>
      <c r="P49" t="s">
        <v>33</v>
      </c>
      <c r="Q49">
        <v>1000</v>
      </c>
      <c r="X49">
        <v>0.11600000000000001</v>
      </c>
      <c r="Y49">
        <v>6024.94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0.11600000000000001</v>
      </c>
      <c r="AH49">
        <v>3</v>
      </c>
      <c r="AI49">
        <v>-1</v>
      </c>
      <c r="AJ49" t="s">
        <v>3</v>
      </c>
      <c r="AK49">
        <v>4</v>
      </c>
      <c r="AL49">
        <v>-698.89304000000004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1</v>
      </c>
    </row>
    <row r="50" spans="1:44" x14ac:dyDescent="0.2">
      <c r="A50">
        <f>ROW(Source!A38)</f>
        <v>38</v>
      </c>
      <c r="B50">
        <v>71570344</v>
      </c>
      <c r="C50">
        <v>71570324</v>
      </c>
      <c r="D50">
        <v>27374692</v>
      </c>
      <c r="E50">
        <v>1</v>
      </c>
      <c r="F50">
        <v>1</v>
      </c>
      <c r="G50">
        <v>1</v>
      </c>
      <c r="H50">
        <v>3</v>
      </c>
      <c r="I50" t="s">
        <v>261</v>
      </c>
      <c r="J50" t="s">
        <v>262</v>
      </c>
      <c r="K50" t="s">
        <v>263</v>
      </c>
      <c r="L50">
        <v>1348</v>
      </c>
      <c r="N50">
        <v>1009</v>
      </c>
      <c r="O50" t="s">
        <v>33</v>
      </c>
      <c r="P50" t="s">
        <v>33</v>
      </c>
      <c r="Q50">
        <v>1000</v>
      </c>
      <c r="X50">
        <v>5.5999999999999995E-4</v>
      </c>
      <c r="Y50">
        <v>10465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5.5999999999999995E-4</v>
      </c>
      <c r="AH50">
        <v>3</v>
      </c>
      <c r="AI50">
        <v>-1</v>
      </c>
      <c r="AJ50" t="s">
        <v>3</v>
      </c>
      <c r="AK50">
        <v>4</v>
      </c>
      <c r="AL50">
        <v>-5.8603999999999994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1</v>
      </c>
    </row>
    <row r="51" spans="1:44" x14ac:dyDescent="0.2">
      <c r="A51">
        <f>ROW(Source!A38)</f>
        <v>38</v>
      </c>
      <c r="B51">
        <v>71570345</v>
      </c>
      <c r="C51">
        <v>71570324</v>
      </c>
      <c r="D51">
        <v>27379271</v>
      </c>
      <c r="E51">
        <v>1</v>
      </c>
      <c r="F51">
        <v>1</v>
      </c>
      <c r="G51">
        <v>1</v>
      </c>
      <c r="H51">
        <v>3</v>
      </c>
      <c r="I51" t="s">
        <v>264</v>
      </c>
      <c r="J51" t="s">
        <v>265</v>
      </c>
      <c r="K51" t="s">
        <v>266</v>
      </c>
      <c r="L51">
        <v>1354</v>
      </c>
      <c r="N51">
        <v>1010</v>
      </c>
      <c r="O51" t="s">
        <v>69</v>
      </c>
      <c r="P51" t="s">
        <v>69</v>
      </c>
      <c r="Q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1</v>
      </c>
      <c r="AD51">
        <v>0</v>
      </c>
      <c r="AE51">
        <v>0</v>
      </c>
      <c r="AF51" t="s">
        <v>3</v>
      </c>
      <c r="AG51">
        <v>0</v>
      </c>
      <c r="AH51">
        <v>3</v>
      </c>
      <c r="AI51">
        <v>-1</v>
      </c>
      <c r="AJ51" t="s">
        <v>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ROW(Source!A38)</f>
        <v>38</v>
      </c>
      <c r="B52">
        <v>71570346</v>
      </c>
      <c r="C52">
        <v>71570324</v>
      </c>
      <c r="D52">
        <v>27385871</v>
      </c>
      <c r="E52">
        <v>1</v>
      </c>
      <c r="F52">
        <v>1</v>
      </c>
      <c r="G52">
        <v>1</v>
      </c>
      <c r="H52">
        <v>3</v>
      </c>
      <c r="I52" t="s">
        <v>267</v>
      </c>
      <c r="J52" t="s">
        <v>268</v>
      </c>
      <c r="K52" t="s">
        <v>269</v>
      </c>
      <c r="L52">
        <v>1348</v>
      </c>
      <c r="N52">
        <v>1009</v>
      </c>
      <c r="O52" t="s">
        <v>33</v>
      </c>
      <c r="P52" t="s">
        <v>33</v>
      </c>
      <c r="Q52">
        <v>1000</v>
      </c>
      <c r="X52">
        <v>1</v>
      </c>
      <c r="Y52">
        <v>11255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1</v>
      </c>
      <c r="AH52">
        <v>3</v>
      </c>
      <c r="AI52">
        <v>-1</v>
      </c>
      <c r="AJ52" t="s">
        <v>3</v>
      </c>
      <c r="AK52">
        <v>4</v>
      </c>
      <c r="AL52">
        <v>-11255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1</v>
      </c>
    </row>
    <row r="53" spans="1:44" x14ac:dyDescent="0.2">
      <c r="A53">
        <f>ROW(Source!A38)</f>
        <v>38</v>
      </c>
      <c r="B53">
        <v>71570347</v>
      </c>
      <c r="C53">
        <v>71570324</v>
      </c>
      <c r="D53">
        <v>27386415</v>
      </c>
      <c r="E53">
        <v>1</v>
      </c>
      <c r="F53">
        <v>1</v>
      </c>
      <c r="G53">
        <v>1</v>
      </c>
      <c r="H53">
        <v>3</v>
      </c>
      <c r="I53" t="s">
        <v>270</v>
      </c>
      <c r="J53" t="s">
        <v>271</v>
      </c>
      <c r="K53" t="s">
        <v>272</v>
      </c>
      <c r="L53">
        <v>1348</v>
      </c>
      <c r="N53">
        <v>1009</v>
      </c>
      <c r="O53" t="s">
        <v>33</v>
      </c>
      <c r="P53" t="s">
        <v>33</v>
      </c>
      <c r="Q53">
        <v>1000</v>
      </c>
      <c r="X53">
        <v>3.2000000000000002E-3</v>
      </c>
      <c r="Y53">
        <v>15620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3.2000000000000002E-3</v>
      </c>
      <c r="AH53">
        <v>3</v>
      </c>
      <c r="AI53">
        <v>-1</v>
      </c>
      <c r="AJ53" t="s">
        <v>3</v>
      </c>
      <c r="AK53">
        <v>4</v>
      </c>
      <c r="AL53">
        <v>-49.984000000000002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1</v>
      </c>
    </row>
    <row r="54" spans="1:44" x14ac:dyDescent="0.2">
      <c r="A54">
        <f>ROW(Source!A38)</f>
        <v>38</v>
      </c>
      <c r="B54">
        <v>71570348</v>
      </c>
      <c r="C54">
        <v>71570324</v>
      </c>
      <c r="D54">
        <v>27407568</v>
      </c>
      <c r="E54">
        <v>1</v>
      </c>
      <c r="F54">
        <v>1</v>
      </c>
      <c r="G54">
        <v>1</v>
      </c>
      <c r="H54">
        <v>3</v>
      </c>
      <c r="I54" t="s">
        <v>273</v>
      </c>
      <c r="J54" t="s">
        <v>274</v>
      </c>
      <c r="K54" t="s">
        <v>275</v>
      </c>
      <c r="L54">
        <v>1339</v>
      </c>
      <c r="N54">
        <v>1007</v>
      </c>
      <c r="O54" t="s">
        <v>75</v>
      </c>
      <c r="P54" t="s">
        <v>75</v>
      </c>
      <c r="Q54">
        <v>1</v>
      </c>
      <c r="X54">
        <v>5.66</v>
      </c>
      <c r="Y54">
        <v>540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5.66</v>
      </c>
      <c r="AH54">
        <v>3</v>
      </c>
      <c r="AI54">
        <v>-1</v>
      </c>
      <c r="AJ54" t="s">
        <v>3</v>
      </c>
      <c r="AK54">
        <v>4</v>
      </c>
      <c r="AL54">
        <v>-3056.4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1</v>
      </c>
    </row>
    <row r="55" spans="1:44" x14ac:dyDescent="0.2">
      <c r="A55">
        <f>ROW(Source!A38)</f>
        <v>38</v>
      </c>
      <c r="B55">
        <v>71570349</v>
      </c>
      <c r="C55">
        <v>71570324</v>
      </c>
      <c r="D55">
        <v>27414041</v>
      </c>
      <c r="E55">
        <v>1</v>
      </c>
      <c r="F55">
        <v>1</v>
      </c>
      <c r="G55">
        <v>1</v>
      </c>
      <c r="H55">
        <v>3</v>
      </c>
      <c r="I55" t="s">
        <v>276</v>
      </c>
      <c r="J55" t="s">
        <v>277</v>
      </c>
      <c r="K55" t="s">
        <v>278</v>
      </c>
      <c r="L55">
        <v>1339</v>
      </c>
      <c r="N55">
        <v>1007</v>
      </c>
      <c r="O55" t="s">
        <v>75</v>
      </c>
      <c r="P55" t="s">
        <v>75</v>
      </c>
      <c r="Q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>
        <v>0</v>
      </c>
      <c r="AE55">
        <v>0</v>
      </c>
      <c r="AF55" t="s">
        <v>3</v>
      </c>
      <c r="AG55">
        <v>0</v>
      </c>
      <c r="AH55">
        <v>3</v>
      </c>
      <c r="AI55">
        <v>-1</v>
      </c>
      <c r="AJ55" t="s">
        <v>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ROW(Source!A38)</f>
        <v>38</v>
      </c>
      <c r="B56">
        <v>71570350</v>
      </c>
      <c r="C56">
        <v>71570324</v>
      </c>
      <c r="D56">
        <v>27416090</v>
      </c>
      <c r="E56">
        <v>1</v>
      </c>
      <c r="F56">
        <v>1</v>
      </c>
      <c r="G56">
        <v>1</v>
      </c>
      <c r="H56">
        <v>3</v>
      </c>
      <c r="I56" t="s">
        <v>279</v>
      </c>
      <c r="J56" t="s">
        <v>280</v>
      </c>
      <c r="K56" t="s">
        <v>281</v>
      </c>
      <c r="L56">
        <v>1339</v>
      </c>
      <c r="N56">
        <v>1007</v>
      </c>
      <c r="O56" t="s">
        <v>75</v>
      </c>
      <c r="P56" t="s">
        <v>75</v>
      </c>
      <c r="Q56">
        <v>1</v>
      </c>
      <c r="X56">
        <v>15.95</v>
      </c>
      <c r="Y56">
        <v>50.24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15.95</v>
      </c>
      <c r="AH56">
        <v>3</v>
      </c>
      <c r="AI56">
        <v>-1</v>
      </c>
      <c r="AJ56" t="s">
        <v>3</v>
      </c>
      <c r="AK56">
        <v>4</v>
      </c>
      <c r="AL56">
        <v>-801.32799999999997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1</v>
      </c>
    </row>
    <row r="57" spans="1:44" x14ac:dyDescent="0.2">
      <c r="A57">
        <f>ROW(Source!A47)</f>
        <v>47</v>
      </c>
      <c r="B57">
        <v>71570358</v>
      </c>
      <c r="C57">
        <v>71570355</v>
      </c>
      <c r="D57">
        <v>27493458</v>
      </c>
      <c r="E57">
        <v>1</v>
      </c>
      <c r="F57">
        <v>1</v>
      </c>
      <c r="G57">
        <v>1</v>
      </c>
      <c r="H57">
        <v>1</v>
      </c>
      <c r="I57" t="s">
        <v>249</v>
      </c>
      <c r="J57" t="s">
        <v>3</v>
      </c>
      <c r="K57" t="s">
        <v>250</v>
      </c>
      <c r="L57">
        <v>1369</v>
      </c>
      <c r="N57">
        <v>1013</v>
      </c>
      <c r="O57" t="s">
        <v>225</v>
      </c>
      <c r="P57" t="s">
        <v>225</v>
      </c>
      <c r="Q57">
        <v>1</v>
      </c>
      <c r="X57">
        <v>69</v>
      </c>
      <c r="Y57">
        <v>0</v>
      </c>
      <c r="Z57">
        <v>0</v>
      </c>
      <c r="AA57">
        <v>0</v>
      </c>
      <c r="AB57">
        <v>8.6</v>
      </c>
      <c r="AC57">
        <v>0</v>
      </c>
      <c r="AD57">
        <v>1</v>
      </c>
      <c r="AE57">
        <v>1</v>
      </c>
      <c r="AF57" t="s">
        <v>3</v>
      </c>
      <c r="AG57">
        <v>69</v>
      </c>
      <c r="AH57">
        <v>2</v>
      </c>
      <c r="AI57">
        <v>71570356</v>
      </c>
      <c r="AJ57">
        <v>45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ROW(Source!A47)</f>
        <v>47</v>
      </c>
      <c r="B58">
        <v>71570359</v>
      </c>
      <c r="C58">
        <v>71570355</v>
      </c>
      <c r="D58">
        <v>27377050</v>
      </c>
      <c r="E58">
        <v>1</v>
      </c>
      <c r="F58">
        <v>1</v>
      </c>
      <c r="G58">
        <v>1</v>
      </c>
      <c r="H58">
        <v>3</v>
      </c>
      <c r="I58" t="s">
        <v>258</v>
      </c>
      <c r="J58" t="s">
        <v>282</v>
      </c>
      <c r="K58" t="s">
        <v>260</v>
      </c>
      <c r="L58">
        <v>1348</v>
      </c>
      <c r="N58">
        <v>1009</v>
      </c>
      <c r="O58" t="s">
        <v>33</v>
      </c>
      <c r="P58" t="s">
        <v>33</v>
      </c>
      <c r="Q58">
        <v>1000</v>
      </c>
      <c r="X58">
        <v>4.8000000000000001E-2</v>
      </c>
      <c r="Y58">
        <v>6024.94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4.8000000000000001E-2</v>
      </c>
      <c r="AH58">
        <v>3</v>
      </c>
      <c r="AI58">
        <v>-1</v>
      </c>
      <c r="AJ58" t="s">
        <v>3</v>
      </c>
      <c r="AK58">
        <v>4</v>
      </c>
      <c r="AL58">
        <v>-289.19711999999998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1</v>
      </c>
    </row>
    <row r="59" spans="1:44" x14ac:dyDescent="0.2">
      <c r="A59">
        <f>ROW(Source!A47)</f>
        <v>47</v>
      </c>
      <c r="B59">
        <v>71570360</v>
      </c>
      <c r="C59">
        <v>71570355</v>
      </c>
      <c r="D59">
        <v>27379271</v>
      </c>
      <c r="E59">
        <v>1</v>
      </c>
      <c r="F59">
        <v>1</v>
      </c>
      <c r="G59">
        <v>1</v>
      </c>
      <c r="H59">
        <v>3</v>
      </c>
      <c r="I59" t="s">
        <v>264</v>
      </c>
      <c r="J59" t="s">
        <v>283</v>
      </c>
      <c r="K59" t="s">
        <v>266</v>
      </c>
      <c r="L59">
        <v>1354</v>
      </c>
      <c r="N59">
        <v>1010</v>
      </c>
      <c r="O59" t="s">
        <v>69</v>
      </c>
      <c r="P59" t="s">
        <v>69</v>
      </c>
      <c r="Q59">
        <v>1</v>
      </c>
      <c r="X59">
        <v>100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 t="s">
        <v>3</v>
      </c>
      <c r="AG59">
        <v>100</v>
      </c>
      <c r="AH59">
        <v>3</v>
      </c>
      <c r="AI59">
        <v>-1</v>
      </c>
      <c r="AJ59" t="s">
        <v>3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ROW(Source!A48)</f>
        <v>48</v>
      </c>
      <c r="B60">
        <v>71570358</v>
      </c>
      <c r="C60">
        <v>71570355</v>
      </c>
      <c r="D60">
        <v>27493458</v>
      </c>
      <c r="E60">
        <v>1</v>
      </c>
      <c r="F60">
        <v>1</v>
      </c>
      <c r="G60">
        <v>1</v>
      </c>
      <c r="H60">
        <v>1</v>
      </c>
      <c r="I60" t="s">
        <v>249</v>
      </c>
      <c r="J60" t="s">
        <v>3</v>
      </c>
      <c r="K60" t="s">
        <v>250</v>
      </c>
      <c r="L60">
        <v>1369</v>
      </c>
      <c r="N60">
        <v>1013</v>
      </c>
      <c r="O60" t="s">
        <v>225</v>
      </c>
      <c r="P60" t="s">
        <v>225</v>
      </c>
      <c r="Q60">
        <v>1</v>
      </c>
      <c r="X60">
        <v>69</v>
      </c>
      <c r="Y60">
        <v>0</v>
      </c>
      <c r="Z60">
        <v>0</v>
      </c>
      <c r="AA60">
        <v>0</v>
      </c>
      <c r="AB60">
        <v>8.6</v>
      </c>
      <c r="AC60">
        <v>0</v>
      </c>
      <c r="AD60">
        <v>1</v>
      </c>
      <c r="AE60">
        <v>1</v>
      </c>
      <c r="AF60" t="s">
        <v>3</v>
      </c>
      <c r="AG60">
        <v>69</v>
      </c>
      <c r="AH60">
        <v>2</v>
      </c>
      <c r="AI60">
        <v>71570356</v>
      </c>
      <c r="AJ60">
        <v>47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ROW(Source!A48)</f>
        <v>48</v>
      </c>
      <c r="B61">
        <v>71570359</v>
      </c>
      <c r="C61">
        <v>71570355</v>
      </c>
      <c r="D61">
        <v>27377050</v>
      </c>
      <c r="E61">
        <v>1</v>
      </c>
      <c r="F61">
        <v>1</v>
      </c>
      <c r="G61">
        <v>1</v>
      </c>
      <c r="H61">
        <v>3</v>
      </c>
      <c r="I61" t="s">
        <v>258</v>
      </c>
      <c r="J61" t="s">
        <v>282</v>
      </c>
      <c r="K61" t="s">
        <v>260</v>
      </c>
      <c r="L61">
        <v>1348</v>
      </c>
      <c r="N61">
        <v>1009</v>
      </c>
      <c r="O61" t="s">
        <v>33</v>
      </c>
      <c r="P61" t="s">
        <v>33</v>
      </c>
      <c r="Q61">
        <v>1000</v>
      </c>
      <c r="X61">
        <v>4.8000000000000001E-2</v>
      </c>
      <c r="Y61">
        <v>6024.94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4.8000000000000001E-2</v>
      </c>
      <c r="AH61">
        <v>3</v>
      </c>
      <c r="AI61">
        <v>-1</v>
      </c>
      <c r="AJ61" t="s">
        <v>3</v>
      </c>
      <c r="AK61">
        <v>4</v>
      </c>
      <c r="AL61">
        <v>-289.19711999999998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1</v>
      </c>
    </row>
    <row r="62" spans="1:44" x14ac:dyDescent="0.2">
      <c r="A62">
        <f>ROW(Source!A48)</f>
        <v>48</v>
      </c>
      <c r="B62">
        <v>71570360</v>
      </c>
      <c r="C62">
        <v>71570355</v>
      </c>
      <c r="D62">
        <v>27379271</v>
      </c>
      <c r="E62">
        <v>1</v>
      </c>
      <c r="F62">
        <v>1</v>
      </c>
      <c r="G62">
        <v>1</v>
      </c>
      <c r="H62">
        <v>3</v>
      </c>
      <c r="I62" t="s">
        <v>264</v>
      </c>
      <c r="J62" t="s">
        <v>283</v>
      </c>
      <c r="K62" t="s">
        <v>266</v>
      </c>
      <c r="L62">
        <v>1354</v>
      </c>
      <c r="N62">
        <v>1010</v>
      </c>
      <c r="O62" t="s">
        <v>69</v>
      </c>
      <c r="P62" t="s">
        <v>69</v>
      </c>
      <c r="Q62">
        <v>1</v>
      </c>
      <c r="X62">
        <v>100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 t="s">
        <v>3</v>
      </c>
      <c r="AG62">
        <v>100</v>
      </c>
      <c r="AH62">
        <v>3</v>
      </c>
      <c r="AI62">
        <v>-1</v>
      </c>
      <c r="AJ62" t="s">
        <v>3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12827</v>
      </c>
      <c r="M1">
        <v>66420865</v>
      </c>
      <c r="N1">
        <v>11</v>
      </c>
      <c r="O1">
        <v>11</v>
      </c>
      <c r="P1">
        <v>0</v>
      </c>
      <c r="Q1">
        <v>3</v>
      </c>
    </row>
    <row r="12" spans="1:103" x14ac:dyDescent="0.2">
      <c r="F12" t="str">
        <f>Source!F12</f>
        <v>6.2.1.2.3 Разметка стоянок и  монтаж дорожных знаков, поз.1</v>
      </c>
      <c r="G12" t="str">
        <f>Source!G12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AB12" t="s">
        <v>3</v>
      </c>
      <c r="AC12" t="s">
        <v>3</v>
      </c>
      <c r="AD12" t="s">
        <v>3</v>
      </c>
      <c r="AE12" t="s">
        <v>3</v>
      </c>
      <c r="AH12" t="s">
        <v>3</v>
      </c>
      <c r="AI12" t="s">
        <v>3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61"/>
  <sheetViews>
    <sheetView workbookViewId="0">
      <selection sqref="A1:G1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268" t="s">
        <v>300</v>
      </c>
      <c r="B1" s="268"/>
      <c r="C1" s="268"/>
      <c r="D1" s="268"/>
      <c r="E1" s="268"/>
      <c r="F1" s="268"/>
      <c r="G1" s="268"/>
    </row>
    <row r="3" spans="1:255" x14ac:dyDescent="0.2">
      <c r="A3" s="20" t="s">
        <v>307</v>
      </c>
      <c r="B3" s="19"/>
      <c r="C3" s="270"/>
      <c r="D3" s="271"/>
      <c r="E3" s="271"/>
      <c r="F3" s="271"/>
      <c r="G3" s="271"/>
      <c r="BR3" s="22">
        <f>C3</f>
        <v>0</v>
      </c>
      <c r="IU3" s="23"/>
    </row>
    <row r="4" spans="1:255" x14ac:dyDescent="0.2">
      <c r="A4" s="20" t="s">
        <v>309</v>
      </c>
      <c r="B4" s="19"/>
      <c r="C4" s="272"/>
      <c r="D4" s="273"/>
      <c r="E4" s="273"/>
      <c r="F4" s="273"/>
      <c r="G4" s="273"/>
      <c r="BR4" s="22">
        <f>C4</f>
        <v>0</v>
      </c>
      <c r="IU4" s="23"/>
    </row>
    <row r="5" spans="1:255" x14ac:dyDescent="0.2">
      <c r="A5" s="20" t="s">
        <v>310</v>
      </c>
      <c r="B5" s="19"/>
      <c r="C5" s="272"/>
      <c r="D5" s="273"/>
      <c r="E5" s="273"/>
      <c r="F5" s="273"/>
      <c r="G5" s="273"/>
      <c r="BR5" s="22">
        <f>C5</f>
        <v>0</v>
      </c>
      <c r="IU5" s="23"/>
    </row>
    <row r="6" spans="1:255" x14ac:dyDescent="0.2">
      <c r="A6" s="20" t="s">
        <v>311</v>
      </c>
      <c r="B6" s="19"/>
      <c r="C6" s="266"/>
      <c r="D6" s="267"/>
      <c r="E6" s="267"/>
      <c r="F6" s="267"/>
      <c r="G6" s="267"/>
      <c r="BR6" s="22">
        <f>C6</f>
        <v>0</v>
      </c>
      <c r="IU6" s="23"/>
    </row>
    <row r="7" spans="1:255" x14ac:dyDescent="0.2">
      <c r="A7" s="275"/>
      <c r="B7" s="275"/>
      <c r="C7" s="275"/>
      <c r="D7" s="275"/>
      <c r="E7" s="275"/>
      <c r="F7" s="275"/>
      <c r="G7" s="275"/>
    </row>
    <row r="8" spans="1:255" ht="18.75" x14ac:dyDescent="0.3">
      <c r="A8" s="276" t="s">
        <v>481</v>
      </c>
      <c r="B8" s="276"/>
      <c r="C8" s="276"/>
      <c r="D8" s="276"/>
      <c r="E8" s="276"/>
      <c r="F8" s="276"/>
      <c r="G8" s="276"/>
    </row>
    <row r="9" spans="1:255" x14ac:dyDescent="0.2">
      <c r="A9" s="277"/>
      <c r="B9" s="277"/>
      <c r="C9" s="277"/>
      <c r="D9" s="277"/>
      <c r="E9" s="277"/>
      <c r="F9" s="277"/>
      <c r="G9" s="277"/>
    </row>
    <row r="10" spans="1:255" x14ac:dyDescent="0.2">
      <c r="A10" s="277"/>
      <c r="B10" s="277"/>
      <c r="C10" s="277"/>
      <c r="D10" s="277"/>
      <c r="E10" s="277"/>
      <c r="F10" s="277"/>
      <c r="G10" s="277"/>
    </row>
    <row r="11" spans="1:255" ht="47.25" x14ac:dyDescent="0.25">
      <c r="A11" s="14" t="s">
        <v>313</v>
      </c>
      <c r="B11" s="278" t="s">
        <v>4</v>
      </c>
      <c r="C11" s="278"/>
      <c r="D11" s="278"/>
      <c r="E11" s="278"/>
      <c r="F11" s="278"/>
      <c r="G11" s="278"/>
      <c r="BS11" s="181" t="str">
        <f>B11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IU11" s="23"/>
    </row>
    <row r="13" spans="1:255" x14ac:dyDescent="0.2">
      <c r="A13" s="14" t="s">
        <v>328</v>
      </c>
    </row>
    <row r="14" spans="1:255" x14ac:dyDescent="0.2">
      <c r="A14" s="14" t="s">
        <v>329</v>
      </c>
    </row>
    <row r="15" spans="1:255" x14ac:dyDescent="0.2">
      <c r="A15" s="182" t="s">
        <v>450</v>
      </c>
      <c r="B15" s="182" t="s">
        <v>452</v>
      </c>
      <c r="C15" s="182" t="s">
        <v>455</v>
      </c>
      <c r="D15" s="182" t="s">
        <v>457</v>
      </c>
      <c r="E15" s="182" t="s">
        <v>460</v>
      </c>
      <c r="F15" s="182" t="s">
        <v>462</v>
      </c>
      <c r="G15" s="182" t="s">
        <v>464</v>
      </c>
      <c r="H15" s="182" t="s">
        <v>466</v>
      </c>
      <c r="I15" s="183" t="s">
        <v>426</v>
      </c>
    </row>
    <row r="16" spans="1:255" x14ac:dyDescent="0.2">
      <c r="A16" s="184" t="s">
        <v>451</v>
      </c>
      <c r="B16" s="184" t="s">
        <v>453</v>
      </c>
      <c r="C16" s="184" t="s">
        <v>482</v>
      </c>
      <c r="D16" s="184" t="s">
        <v>458</v>
      </c>
      <c r="E16" s="184" t="s">
        <v>461</v>
      </c>
      <c r="F16" s="184" t="s">
        <v>463</v>
      </c>
      <c r="G16" s="184" t="s">
        <v>465</v>
      </c>
      <c r="H16" s="184" t="s">
        <v>467</v>
      </c>
      <c r="I16" s="185" t="s">
        <v>362</v>
      </c>
    </row>
    <row r="17" spans="1:255" x14ac:dyDescent="0.2">
      <c r="A17" s="184"/>
      <c r="B17" s="184" t="s">
        <v>454</v>
      </c>
      <c r="C17" s="184"/>
      <c r="D17" s="184" t="s">
        <v>459</v>
      </c>
      <c r="E17" s="184"/>
      <c r="F17" s="184"/>
      <c r="G17" s="184" t="s">
        <v>463</v>
      </c>
      <c r="H17" s="184" t="s">
        <v>468</v>
      </c>
      <c r="I17" s="185"/>
    </row>
    <row r="18" spans="1:255" x14ac:dyDescent="0.2">
      <c r="A18" s="182">
        <v>1</v>
      </c>
      <c r="B18" s="182">
        <v>2</v>
      </c>
      <c r="C18" s="182">
        <v>3</v>
      </c>
      <c r="D18" s="182">
        <v>4</v>
      </c>
      <c r="E18" s="182">
        <v>5</v>
      </c>
      <c r="F18" s="182">
        <v>6</v>
      </c>
      <c r="G18" s="182">
        <v>7</v>
      </c>
      <c r="H18" s="182">
        <v>8</v>
      </c>
      <c r="I18" s="183">
        <v>9</v>
      </c>
    </row>
    <row r="19" spans="1:255" x14ac:dyDescent="0.2">
      <c r="A19" s="193"/>
      <c r="B19" s="193" t="s">
        <v>483</v>
      </c>
      <c r="C19" s="193"/>
      <c r="D19" s="193"/>
      <c r="E19" s="193"/>
      <c r="F19" s="193"/>
      <c r="G19" s="190"/>
      <c r="H19" s="190"/>
      <c r="I19" s="190"/>
    </row>
    <row r="20" spans="1:255" s="43" customFormat="1" ht="24" x14ac:dyDescent="0.2">
      <c r="A20" s="194">
        <v>1</v>
      </c>
      <c r="B20" s="195" t="s">
        <v>223</v>
      </c>
      <c r="C20" s="195" t="s">
        <v>224</v>
      </c>
      <c r="D20" s="195" t="s">
        <v>225</v>
      </c>
      <c r="E20" s="196">
        <v>2.5016099999999999</v>
      </c>
      <c r="F20" s="197">
        <f>ROUND( 7.74 * 38, 2 )</f>
        <v>294.12</v>
      </c>
      <c r="G20" s="198">
        <f>ROUND(E20*F20,0)</f>
        <v>736</v>
      </c>
      <c r="H20" s="203" t="s">
        <v>484</v>
      </c>
      <c r="I20" s="203" t="s">
        <v>471</v>
      </c>
    </row>
    <row r="21" spans="1:255" s="43" customFormat="1" ht="24" x14ac:dyDescent="0.2">
      <c r="A21" s="194">
        <v>2</v>
      </c>
      <c r="B21" s="195" t="s">
        <v>235</v>
      </c>
      <c r="C21" s="195" t="s">
        <v>236</v>
      </c>
      <c r="D21" s="195" t="s">
        <v>225</v>
      </c>
      <c r="E21" s="196">
        <v>6.6808680000000003</v>
      </c>
      <c r="F21" s="197">
        <f>ROUND( 8.53 * 38, 2 )</f>
        <v>324.14</v>
      </c>
      <c r="G21" s="198">
        <f>ROUND(E21*F21,0)</f>
        <v>2166</v>
      </c>
      <c r="H21" s="203" t="s">
        <v>486</v>
      </c>
      <c r="I21" s="203" t="s">
        <v>471</v>
      </c>
    </row>
    <row r="22" spans="1:255" s="43" customFormat="1" ht="24" x14ac:dyDescent="0.2">
      <c r="A22" s="194">
        <v>3</v>
      </c>
      <c r="B22" s="195" t="s">
        <v>249</v>
      </c>
      <c r="C22" s="195" t="s">
        <v>250</v>
      </c>
      <c r="D22" s="195" t="s">
        <v>225</v>
      </c>
      <c r="E22" s="196">
        <v>1.38</v>
      </c>
      <c r="F22" s="197">
        <f>ROUND( 8.6 * 38, 2 )</f>
        <v>326.8</v>
      </c>
      <c r="G22" s="198">
        <f>ROUND(E22*F22,0)</f>
        <v>451</v>
      </c>
      <c r="H22" s="203" t="s">
        <v>487</v>
      </c>
      <c r="I22" s="203" t="s">
        <v>471</v>
      </c>
    </row>
    <row r="23" spans="1:255" s="43" customFormat="1" ht="12" x14ac:dyDescent="0.2">
      <c r="A23" s="194">
        <v>4</v>
      </c>
      <c r="B23" s="195" t="s">
        <v>40</v>
      </c>
      <c r="C23" s="195" t="s">
        <v>226</v>
      </c>
      <c r="D23" s="195" t="s">
        <v>227</v>
      </c>
      <c r="E23" s="196">
        <v>2.04542</v>
      </c>
      <c r="F23" s="197">
        <f>ROUND( 0, 2 )</f>
        <v>0</v>
      </c>
      <c r="G23" s="198">
        <f>ROUND(E23*F23,0)</f>
        <v>0</v>
      </c>
      <c r="H23" s="204" t="s">
        <v>485</v>
      </c>
      <c r="I23" s="204" t="s">
        <v>471</v>
      </c>
    </row>
    <row r="24" spans="1:255" x14ac:dyDescent="0.2">
      <c r="A24" s="205"/>
      <c r="B24" s="205"/>
      <c r="C24" s="206" t="s">
        <v>425</v>
      </c>
      <c r="D24" s="205"/>
      <c r="E24" s="205"/>
      <c r="F24" s="205"/>
      <c r="G24" s="207">
        <f>ROUND(SUM(G20:G23),0)</f>
        <v>3353</v>
      </c>
      <c r="H24" s="205"/>
      <c r="I24" s="205"/>
      <c r="J24" s="23"/>
      <c r="K24" s="189">
        <f>G24</f>
        <v>3353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</row>
    <row r="25" spans="1:255" x14ac:dyDescent="0.2">
      <c r="A25" s="32"/>
      <c r="B25" s="53"/>
      <c r="C25" s="53"/>
      <c r="D25" s="53"/>
      <c r="E25" s="53"/>
      <c r="F25" s="53"/>
      <c r="G25" s="208"/>
      <c r="H25" s="53"/>
      <c r="I25" s="208"/>
    </row>
    <row r="26" spans="1:255" x14ac:dyDescent="0.2">
      <c r="A26" s="193"/>
      <c r="B26" s="193" t="s">
        <v>488</v>
      </c>
      <c r="C26" s="193"/>
      <c r="D26" s="193"/>
      <c r="E26" s="193"/>
      <c r="F26" s="193"/>
      <c r="G26" s="190"/>
      <c r="H26" s="190"/>
      <c r="I26" s="190"/>
    </row>
    <row r="27" spans="1:255" s="43" customFormat="1" ht="36" x14ac:dyDescent="0.2">
      <c r="A27" s="194">
        <v>5</v>
      </c>
      <c r="B27" s="195" t="s">
        <v>237</v>
      </c>
      <c r="C27" s="195" t="s">
        <v>239</v>
      </c>
      <c r="D27" s="195" t="s">
        <v>231</v>
      </c>
      <c r="E27" s="196">
        <v>0.43984800000000002</v>
      </c>
      <c r="F27" s="197">
        <f>ROUND( 112.67 * 9.3, 2 )</f>
        <v>1047.83</v>
      </c>
      <c r="G27" s="198">
        <f t="shared" ref="G27:G32" si="0">ROUND(E27*F27,0)</f>
        <v>461</v>
      </c>
      <c r="H27" s="203" t="s">
        <v>491</v>
      </c>
      <c r="I27" s="203" t="s">
        <v>471</v>
      </c>
    </row>
    <row r="28" spans="1:255" s="43" customFormat="1" ht="24" x14ac:dyDescent="0.2">
      <c r="A28" s="194">
        <v>6</v>
      </c>
      <c r="B28" s="195" t="s">
        <v>240</v>
      </c>
      <c r="C28" s="195" t="s">
        <v>242</v>
      </c>
      <c r="D28" s="195" t="s">
        <v>231</v>
      </c>
      <c r="E28" s="196">
        <v>1.7219999999999999E-2</v>
      </c>
      <c r="F28" s="197">
        <f>ROUND( 88.42 * 9.3, 2 )</f>
        <v>822.31</v>
      </c>
      <c r="G28" s="198">
        <f t="shared" si="0"/>
        <v>14</v>
      </c>
      <c r="H28" s="203" t="s">
        <v>492</v>
      </c>
      <c r="I28" s="203" t="s">
        <v>471</v>
      </c>
    </row>
    <row r="29" spans="1:255" s="43" customFormat="1" ht="24" x14ac:dyDescent="0.2">
      <c r="A29" s="194">
        <v>7</v>
      </c>
      <c r="B29" s="195" t="s">
        <v>228</v>
      </c>
      <c r="C29" s="195" t="s">
        <v>230</v>
      </c>
      <c r="D29" s="195" t="s">
        <v>231</v>
      </c>
      <c r="E29" s="196">
        <v>0.69033500000000003</v>
      </c>
      <c r="F29" s="197">
        <f>ROUND( 54.5 * 9.3, 2 )</f>
        <v>506.85</v>
      </c>
      <c r="G29" s="198">
        <f t="shared" si="0"/>
        <v>350</v>
      </c>
      <c r="H29" s="203" t="s">
        <v>489</v>
      </c>
      <c r="I29" s="203" t="s">
        <v>471</v>
      </c>
    </row>
    <row r="30" spans="1:255" s="43" customFormat="1" ht="24" x14ac:dyDescent="0.2">
      <c r="A30" s="194">
        <v>8</v>
      </c>
      <c r="B30" s="195" t="s">
        <v>232</v>
      </c>
      <c r="C30" s="195" t="s">
        <v>234</v>
      </c>
      <c r="D30" s="195" t="s">
        <v>231</v>
      </c>
      <c r="E30" s="196">
        <v>0.70400499999999999</v>
      </c>
      <c r="F30" s="197">
        <f>ROUND( 109.42 * 9.3, 2 )</f>
        <v>1017.61</v>
      </c>
      <c r="G30" s="198">
        <f t="shared" si="0"/>
        <v>716</v>
      </c>
      <c r="H30" s="203" t="s">
        <v>490</v>
      </c>
      <c r="I30" s="203" t="s">
        <v>471</v>
      </c>
    </row>
    <row r="31" spans="1:255" s="43" customFormat="1" ht="24" x14ac:dyDescent="0.2">
      <c r="A31" s="194">
        <v>9</v>
      </c>
      <c r="B31" s="195" t="s">
        <v>243</v>
      </c>
      <c r="C31" s="195" t="s">
        <v>245</v>
      </c>
      <c r="D31" s="195" t="s">
        <v>231</v>
      </c>
      <c r="E31" s="196">
        <v>0.19401199999999999</v>
      </c>
      <c r="F31" s="197">
        <f>ROUND( 135.22 * 9.3, 2 )</f>
        <v>1257.55</v>
      </c>
      <c r="G31" s="198">
        <f t="shared" si="0"/>
        <v>244</v>
      </c>
      <c r="H31" s="203" t="s">
        <v>493</v>
      </c>
      <c r="I31" s="203" t="s">
        <v>471</v>
      </c>
    </row>
    <row r="32" spans="1:255" s="43" customFormat="1" ht="24" x14ac:dyDescent="0.2">
      <c r="A32" s="194">
        <v>10</v>
      </c>
      <c r="B32" s="195" t="s">
        <v>246</v>
      </c>
      <c r="C32" s="195" t="s">
        <v>248</v>
      </c>
      <c r="D32" s="195" t="s">
        <v>231</v>
      </c>
      <c r="E32" s="196">
        <v>6.7568000000000003E-2</v>
      </c>
      <c r="F32" s="197">
        <f>ROUND( 93.37 * 9.3, 2 )</f>
        <v>868.34</v>
      </c>
      <c r="G32" s="198">
        <f t="shared" si="0"/>
        <v>59</v>
      </c>
      <c r="H32" s="203" t="s">
        <v>494</v>
      </c>
      <c r="I32" s="203" t="s">
        <v>471</v>
      </c>
    </row>
    <row r="33" spans="1:255" x14ac:dyDescent="0.2">
      <c r="A33" s="190"/>
      <c r="B33" s="190"/>
      <c r="C33" s="191" t="s">
        <v>425</v>
      </c>
      <c r="D33" s="190"/>
      <c r="E33" s="190"/>
      <c r="F33" s="190"/>
      <c r="G33" s="192">
        <f>ROUND(SUM(G27:G32),0)</f>
        <v>1844</v>
      </c>
      <c r="H33" s="190"/>
      <c r="I33" s="190"/>
      <c r="J33" s="23"/>
      <c r="K33" s="23"/>
      <c r="L33" s="189">
        <f>G33</f>
        <v>1844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</row>
    <row r="34" spans="1:255" x14ac:dyDescent="0.2">
      <c r="A34" s="190"/>
      <c r="B34" s="190"/>
      <c r="C34" s="190"/>
      <c r="D34" s="190"/>
      <c r="E34" s="190"/>
      <c r="F34" s="190"/>
      <c r="G34" s="190"/>
      <c r="H34" s="190"/>
      <c r="I34" s="190"/>
    </row>
    <row r="35" spans="1:255" x14ac:dyDescent="0.2">
      <c r="A35" s="193"/>
      <c r="B35" s="193" t="s">
        <v>469</v>
      </c>
      <c r="C35" s="193"/>
      <c r="D35" s="193"/>
      <c r="E35" s="193"/>
      <c r="F35" s="193"/>
      <c r="G35" s="190"/>
      <c r="H35" s="190"/>
      <c r="I35" s="190"/>
    </row>
    <row r="36" spans="1:255" s="43" customFormat="1" ht="48" x14ac:dyDescent="0.2">
      <c r="A36" s="194">
        <v>11</v>
      </c>
      <c r="B36" s="195" t="s">
        <v>62</v>
      </c>
      <c r="C36" s="195" t="s">
        <v>63</v>
      </c>
      <c r="D36" s="195" t="s">
        <v>33</v>
      </c>
      <c r="E36" s="196">
        <v>1.5E-5</v>
      </c>
      <c r="F36" s="197">
        <f>ROUND( 11297.97 * 7.56, 2 )</f>
        <v>85412.65</v>
      </c>
      <c r="G36" s="198">
        <f t="shared" ref="G36:G44" si="1">ROUND(E36*F36,0)</f>
        <v>1</v>
      </c>
      <c r="H36" s="199" t="s">
        <v>475</v>
      </c>
      <c r="I36" s="199" t="s">
        <v>471</v>
      </c>
    </row>
    <row r="37" spans="1:255" s="43" customFormat="1" ht="24" x14ac:dyDescent="0.2">
      <c r="A37" s="194">
        <v>12</v>
      </c>
      <c r="B37" s="195" t="s">
        <v>31</v>
      </c>
      <c r="C37" s="195" t="s">
        <v>32</v>
      </c>
      <c r="D37" s="195" t="s">
        <v>33</v>
      </c>
      <c r="E37" s="196">
        <v>5.1699999999999999E-4</v>
      </c>
      <c r="F37" s="197">
        <f>ROUND( 5654.54 * 7.56, 2 )</f>
        <v>42748.32</v>
      </c>
      <c r="G37" s="198">
        <f t="shared" si="1"/>
        <v>22</v>
      </c>
      <c r="H37" s="199" t="s">
        <v>470</v>
      </c>
      <c r="I37" s="199" t="s">
        <v>471</v>
      </c>
    </row>
    <row r="38" spans="1:255" s="43" customFormat="1" ht="24" x14ac:dyDescent="0.2">
      <c r="A38" s="194">
        <v>13</v>
      </c>
      <c r="B38" s="195" t="s">
        <v>31</v>
      </c>
      <c r="C38" s="195" t="s">
        <v>32</v>
      </c>
      <c r="D38" s="195" t="s">
        <v>33</v>
      </c>
      <c r="E38" s="196">
        <v>3.0000000000000001E-5</v>
      </c>
      <c r="F38" s="197">
        <f>ROUND( 5376.98 * 7.56, 2 )</f>
        <v>40649.97</v>
      </c>
      <c r="G38" s="198">
        <f t="shared" si="1"/>
        <v>1</v>
      </c>
      <c r="H38" s="199" t="s">
        <v>473</v>
      </c>
      <c r="I38" s="199" t="s">
        <v>471</v>
      </c>
    </row>
    <row r="39" spans="1:255" s="43" customFormat="1" ht="84" x14ac:dyDescent="0.2">
      <c r="A39" s="194">
        <v>14</v>
      </c>
      <c r="B39" s="195" t="s">
        <v>92</v>
      </c>
      <c r="C39" s="195" t="s">
        <v>93</v>
      </c>
      <c r="D39" s="195" t="s">
        <v>69</v>
      </c>
      <c r="E39" s="196">
        <v>2</v>
      </c>
      <c r="F39" s="197">
        <f>ROUND( 83.47 * 7.56, 2 )</f>
        <v>631.03</v>
      </c>
      <c r="G39" s="198">
        <f t="shared" si="1"/>
        <v>1262</v>
      </c>
      <c r="H39" s="199" t="s">
        <v>479</v>
      </c>
      <c r="I39" s="199" t="s">
        <v>471</v>
      </c>
    </row>
    <row r="40" spans="1:255" s="43" customFormat="1" ht="84" x14ac:dyDescent="0.2">
      <c r="A40" s="194">
        <v>15</v>
      </c>
      <c r="B40" s="195" t="s">
        <v>82</v>
      </c>
      <c r="C40" s="195" t="s">
        <v>83</v>
      </c>
      <c r="D40" s="195" t="s">
        <v>69</v>
      </c>
      <c r="E40" s="196">
        <v>2</v>
      </c>
      <c r="F40" s="197">
        <f>ROUND( 149.54 * 7.56, 2 )</f>
        <v>1130.52</v>
      </c>
      <c r="G40" s="198">
        <f t="shared" si="1"/>
        <v>2261</v>
      </c>
      <c r="H40" s="199" t="s">
        <v>478</v>
      </c>
      <c r="I40" s="199" t="s">
        <v>471</v>
      </c>
    </row>
    <row r="41" spans="1:255" s="43" customFormat="1" ht="24" x14ac:dyDescent="0.2">
      <c r="A41" s="194">
        <v>16</v>
      </c>
      <c r="B41" s="195" t="s">
        <v>67</v>
      </c>
      <c r="C41" s="195" t="s">
        <v>68</v>
      </c>
      <c r="D41" s="195" t="s">
        <v>69</v>
      </c>
      <c r="E41" s="196">
        <v>2</v>
      </c>
      <c r="F41" s="197">
        <f>ROUND( 239.94 * 7.56, 2 )</f>
        <v>1813.95</v>
      </c>
      <c r="G41" s="198">
        <f t="shared" si="1"/>
        <v>3628</v>
      </c>
      <c r="H41" s="199" t="s">
        <v>476</v>
      </c>
      <c r="I41" s="199" t="s">
        <v>471</v>
      </c>
    </row>
    <row r="42" spans="1:255" s="43" customFormat="1" ht="24" x14ac:dyDescent="0.2">
      <c r="A42" s="194">
        <v>17</v>
      </c>
      <c r="B42" s="195" t="s">
        <v>42</v>
      </c>
      <c r="C42" s="195" t="s">
        <v>43</v>
      </c>
      <c r="D42" s="195" t="s">
        <v>33</v>
      </c>
      <c r="E42" s="196">
        <v>2.7131999999999996E-2</v>
      </c>
      <c r="F42" s="197">
        <f>ROUND( 23027.14 * 7.56, 2 )</f>
        <v>174085.18</v>
      </c>
      <c r="G42" s="198">
        <f t="shared" si="1"/>
        <v>4723</v>
      </c>
      <c r="H42" s="199" t="s">
        <v>472</v>
      </c>
      <c r="I42" s="199" t="s">
        <v>471</v>
      </c>
    </row>
    <row r="43" spans="1:255" s="43" customFormat="1" ht="24" x14ac:dyDescent="0.2">
      <c r="A43" s="194">
        <v>18</v>
      </c>
      <c r="B43" s="195" t="s">
        <v>42</v>
      </c>
      <c r="C43" s="195" t="s">
        <v>54</v>
      </c>
      <c r="D43" s="195" t="s">
        <v>33</v>
      </c>
      <c r="E43" s="196">
        <v>6.3E-3</v>
      </c>
      <c r="F43" s="197">
        <f>ROUND( 21896.83 * 7.56, 2 )</f>
        <v>165540.03</v>
      </c>
      <c r="G43" s="198">
        <f t="shared" si="1"/>
        <v>1043</v>
      </c>
      <c r="H43" s="199" t="s">
        <v>474</v>
      </c>
      <c r="I43" s="199" t="s">
        <v>471</v>
      </c>
    </row>
    <row r="44" spans="1:255" s="43" customFormat="1" ht="24" x14ac:dyDescent="0.2">
      <c r="A44" s="194">
        <v>19</v>
      </c>
      <c r="B44" s="195" t="s">
        <v>73</v>
      </c>
      <c r="C44" s="195" t="s">
        <v>74</v>
      </c>
      <c r="D44" s="195" t="s">
        <v>75</v>
      </c>
      <c r="E44" s="196">
        <v>0.156</v>
      </c>
      <c r="F44" s="197">
        <f>ROUND( 729.34 * 7.56, 2 )</f>
        <v>5513.81</v>
      </c>
      <c r="G44" s="198">
        <f t="shared" si="1"/>
        <v>860</v>
      </c>
      <c r="H44" s="199" t="s">
        <v>477</v>
      </c>
      <c r="I44" s="199" t="s">
        <v>471</v>
      </c>
    </row>
    <row r="45" spans="1:255" x14ac:dyDescent="0.2">
      <c r="A45" s="190"/>
      <c r="B45" s="190"/>
      <c r="C45" s="191" t="s">
        <v>425</v>
      </c>
      <c r="D45" s="190"/>
      <c r="E45" s="190"/>
      <c r="F45" s="190"/>
      <c r="G45" s="192">
        <f>ROUND(SUM(G36:G44),0)</f>
        <v>13801</v>
      </c>
      <c r="H45" s="190"/>
      <c r="I45" s="190"/>
      <c r="J45" s="23"/>
      <c r="K45" s="23"/>
      <c r="L45" s="23"/>
      <c r="M45" s="189">
        <f>G45</f>
        <v>13801</v>
      </c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</row>
    <row r="47" spans="1:255" x14ac:dyDescent="0.2">
      <c r="C47" s="187" t="s">
        <v>148</v>
      </c>
      <c r="G47" s="188">
        <f>ROUND(SUM(K19:K47) + SUM(L19:L47) + SUM(M19:M47),0)</f>
        <v>18998</v>
      </c>
    </row>
    <row r="48" spans="1:255" x14ac:dyDescent="0.2">
      <c r="C48" s="209" t="s">
        <v>495</v>
      </c>
      <c r="G48" s="188"/>
    </row>
    <row r="49" spans="1:255" x14ac:dyDescent="0.2">
      <c r="C49" s="209" t="s">
        <v>340</v>
      </c>
      <c r="G49" s="188">
        <f>ROUND(SUM(K19:K49),0)</f>
        <v>3353</v>
      </c>
    </row>
    <row r="50" spans="1:255" x14ac:dyDescent="0.2">
      <c r="C50" s="209" t="s">
        <v>401</v>
      </c>
      <c r="G50" s="188">
        <f>ROUND(SUM(L19:L50),0)</f>
        <v>1844</v>
      </c>
    </row>
    <row r="51" spans="1:255" x14ac:dyDescent="0.2">
      <c r="C51" s="209" t="s">
        <v>496</v>
      </c>
      <c r="G51" s="188">
        <f>ROUND(SUM(M19:M51),0)</f>
        <v>13801</v>
      </c>
    </row>
    <row r="53" spans="1:255" x14ac:dyDescent="0.2">
      <c r="A53" s="175" t="s">
        <v>438</v>
      </c>
      <c r="B53" s="175"/>
      <c r="C53" s="180" t="s">
        <v>439</v>
      </c>
      <c r="D53" s="176"/>
      <c r="E53" s="176"/>
      <c r="F53" s="274" t="s">
        <v>440</v>
      </c>
      <c r="G53" s="274"/>
      <c r="BY53" s="177" t="str">
        <f>C53</f>
        <v>Начальник ПТС ООО "ОСУ-2"</v>
      </c>
      <c r="BZ53" s="177" t="str">
        <f>F53</f>
        <v>Когтев В.И.</v>
      </c>
      <c r="IU53" s="23"/>
    </row>
    <row r="54" spans="1:255" s="202" customFormat="1" ht="11.25" x14ac:dyDescent="0.2">
      <c r="A54" s="201"/>
      <c r="B54" s="201"/>
      <c r="C54" s="286" t="s">
        <v>434</v>
      </c>
      <c r="D54" s="286"/>
      <c r="E54" s="286"/>
      <c r="F54" s="286" t="s">
        <v>435</v>
      </c>
      <c r="G54" s="286"/>
    </row>
    <row r="55" spans="1:255" x14ac:dyDescent="0.2">
      <c r="A55" s="18"/>
      <c r="B55" s="18"/>
      <c r="C55" s="18"/>
      <c r="D55" s="11" t="s">
        <v>436</v>
      </c>
      <c r="E55" s="18"/>
      <c r="F55" s="18"/>
      <c r="G55" s="18"/>
    </row>
    <row r="56" spans="1:255" x14ac:dyDescent="0.2">
      <c r="A56" s="175" t="s">
        <v>441</v>
      </c>
      <c r="B56" s="175"/>
      <c r="C56" s="180" t="s">
        <v>10</v>
      </c>
      <c r="D56" s="176"/>
      <c r="E56" s="176"/>
      <c r="F56" s="274" t="s">
        <v>9</v>
      </c>
      <c r="G56" s="274"/>
      <c r="BY56" s="177" t="str">
        <f>C56</f>
        <v>инженер-сметчик</v>
      </c>
      <c r="BZ56" s="177" t="str">
        <f>F56</f>
        <v>Бобрышева И.В</v>
      </c>
      <c r="IU56" s="23"/>
    </row>
    <row r="57" spans="1:255" s="202" customFormat="1" ht="11.25" x14ac:dyDescent="0.2">
      <c r="A57" s="201"/>
      <c r="B57" s="201"/>
      <c r="C57" s="286" t="s">
        <v>434</v>
      </c>
      <c r="D57" s="286"/>
      <c r="E57" s="286"/>
      <c r="F57" s="286" t="s">
        <v>435</v>
      </c>
      <c r="G57" s="286"/>
    </row>
    <row r="58" spans="1:255" x14ac:dyDescent="0.2">
      <c r="A58" s="18"/>
      <c r="B58" s="18"/>
      <c r="C58" s="18"/>
      <c r="D58" s="11" t="s">
        <v>436</v>
      </c>
      <c r="E58" s="18"/>
      <c r="F58" s="18"/>
      <c r="G58" s="18"/>
    </row>
    <row r="59" spans="1:255" ht="22.5" x14ac:dyDescent="0.2">
      <c r="A59" s="175" t="s">
        <v>442</v>
      </c>
      <c r="B59" s="175"/>
      <c r="C59" s="180" t="s">
        <v>12</v>
      </c>
      <c r="D59" s="176"/>
      <c r="E59" s="176"/>
      <c r="F59" s="274" t="s">
        <v>11</v>
      </c>
      <c r="G59" s="274"/>
      <c r="BY59" s="177" t="str">
        <f>C59</f>
        <v>Главный инженер сметчик СРС ООО "ОДСК-Инжиниринг"</v>
      </c>
      <c r="BZ59" s="177" t="str">
        <f>F59</f>
        <v>Кузнецова У.И.</v>
      </c>
      <c r="IU59" s="23"/>
    </row>
    <row r="60" spans="1:255" s="202" customFormat="1" ht="11.25" x14ac:dyDescent="0.2">
      <c r="A60" s="201"/>
      <c r="B60" s="201"/>
      <c r="C60" s="286" t="s">
        <v>434</v>
      </c>
      <c r="D60" s="286"/>
      <c r="E60" s="286"/>
      <c r="F60" s="286" t="s">
        <v>435</v>
      </c>
      <c r="G60" s="286"/>
    </row>
    <row r="61" spans="1:255" x14ac:dyDescent="0.2">
      <c r="A61" s="18"/>
      <c r="B61" s="18"/>
      <c r="C61" s="18"/>
      <c r="D61" s="11" t="s">
        <v>436</v>
      </c>
      <c r="E61" s="18"/>
      <c r="F61" s="18"/>
      <c r="G61" s="18"/>
    </row>
  </sheetData>
  <sortState ref="A36:IU44">
    <sortCondition ref="B36"/>
    <sortCondition ref="C36"/>
  </sortState>
  <mergeCells count="19">
    <mergeCell ref="F56:G56"/>
    <mergeCell ref="C57:E57"/>
    <mergeCell ref="F57:G57"/>
    <mergeCell ref="F59:G59"/>
    <mergeCell ref="C60:E60"/>
    <mergeCell ref="F60:G60"/>
    <mergeCell ref="C54:E54"/>
    <mergeCell ref="F54:G54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F53:G53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300"/>
  <sheetViews>
    <sheetView topLeftCell="A256" zoomScaleNormal="100" workbookViewId="0">
      <selection activeCell="C267" sqref="C267:G267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78.7109375" customWidth="1"/>
    <col min="4" max="4" width="9.7109375" customWidth="1"/>
    <col min="5" max="5" width="7.7109375" customWidth="1"/>
    <col min="6" max="10" width="8.85546875" customWidth="1"/>
    <col min="11" max="11" width="8.7109375" customWidth="1"/>
    <col min="12" max="65" width="0" hidden="1" customWidth="1"/>
    <col min="66" max="67" width="79.7109375" hidden="1" customWidth="1"/>
    <col min="68" max="68" width="115.7109375" hidden="1" customWidth="1"/>
    <col min="69" max="70" width="135.7109375" hidden="1" customWidth="1"/>
    <col min="71" max="71" width="21.7109375" hidden="1" customWidth="1"/>
    <col min="72" max="72" width="115.7109375" hidden="1" customWidth="1"/>
    <col min="73" max="73" width="79.7109375" hidden="1" customWidth="1"/>
    <col min="74" max="74" width="21.7109375" hidden="1" customWidth="1"/>
    <col min="75" max="251" width="0" hidden="1" customWidth="1"/>
    <col min="252" max="252" width="0.28515625" hidden="1" customWidth="1"/>
  </cols>
  <sheetData>
    <row r="1" spans="1:251" ht="16.5" x14ac:dyDescent="0.3">
      <c r="A1" s="254"/>
      <c r="B1" s="254"/>
      <c r="C1" s="292" t="s">
        <v>905</v>
      </c>
      <c r="D1" s="292"/>
      <c r="E1" s="292"/>
      <c r="F1" s="293"/>
      <c r="G1" s="293"/>
      <c r="H1" s="293"/>
      <c r="I1" s="293"/>
      <c r="J1" s="293"/>
      <c r="K1" s="293"/>
      <c r="L1" s="293"/>
      <c r="M1" s="254"/>
    </row>
    <row r="2" spans="1:251" ht="16.5" x14ac:dyDescent="0.3">
      <c r="A2" s="254"/>
      <c r="B2" s="254"/>
      <c r="C2" s="294" t="s">
        <v>904</v>
      </c>
      <c r="D2" s="294"/>
      <c r="E2" s="294"/>
      <c r="F2" s="293"/>
      <c r="G2" s="293"/>
      <c r="H2" s="293"/>
      <c r="I2" s="293"/>
      <c r="J2" s="293"/>
      <c r="K2" s="293"/>
      <c r="L2" s="293"/>
      <c r="M2" s="254"/>
    </row>
    <row r="3" spans="1:251" ht="16.5" x14ac:dyDescent="0.3">
      <c r="A3" s="254"/>
      <c r="B3" s="254"/>
      <c r="C3" s="296" t="s">
        <v>900</v>
      </c>
      <c r="D3" s="296"/>
      <c r="E3" s="294"/>
      <c r="F3" s="293"/>
      <c r="G3" s="293"/>
      <c r="H3" s="293"/>
      <c r="I3" s="293"/>
      <c r="J3" s="293"/>
      <c r="K3" s="293"/>
      <c r="L3" s="293"/>
      <c r="M3" s="254"/>
    </row>
    <row r="4" spans="1:251" ht="16.5" x14ac:dyDescent="0.3">
      <c r="A4" s="254"/>
      <c r="B4" s="254"/>
      <c r="C4" s="261"/>
      <c r="D4" s="261"/>
      <c r="E4" s="262"/>
      <c r="F4" s="263"/>
      <c r="G4" s="263"/>
      <c r="H4" s="263"/>
      <c r="I4" s="263"/>
      <c r="J4" s="263"/>
      <c r="K4" s="263"/>
      <c r="L4" s="263"/>
      <c r="M4" s="254"/>
    </row>
    <row r="5" spans="1:251" ht="18.75" x14ac:dyDescent="0.3">
      <c r="A5" s="295" t="s">
        <v>901</v>
      </c>
      <c r="B5" s="295"/>
      <c r="C5" s="295"/>
      <c r="D5" s="295"/>
      <c r="E5" s="295"/>
      <c r="F5" s="295"/>
      <c r="G5" s="295"/>
      <c r="H5" s="288"/>
      <c r="I5" s="288"/>
      <c r="J5" s="288"/>
      <c r="K5" s="288"/>
      <c r="L5" s="257"/>
      <c r="M5" s="257"/>
    </row>
    <row r="7" spans="1:251" ht="30.6" customHeight="1" x14ac:dyDescent="0.2">
      <c r="A7" s="21" t="s">
        <v>312</v>
      </c>
      <c r="C7" s="287"/>
      <c r="D7" s="287"/>
      <c r="E7" s="287"/>
    </row>
    <row r="8" spans="1:251" x14ac:dyDescent="0.2">
      <c r="A8" s="21" t="s">
        <v>313</v>
      </c>
      <c r="C8" s="287" t="s">
        <v>906</v>
      </c>
      <c r="D8" s="287"/>
      <c r="E8" s="287"/>
      <c r="F8" s="288"/>
      <c r="G8" s="288"/>
      <c r="H8" s="288"/>
      <c r="I8" s="288"/>
      <c r="J8" s="288"/>
      <c r="K8" s="288"/>
      <c r="L8" s="288"/>
      <c r="M8" s="288"/>
    </row>
    <row r="9" spans="1:251" x14ac:dyDescent="0.2">
      <c r="A9" s="21"/>
      <c r="C9" s="255" t="s">
        <v>907</v>
      </c>
      <c r="D9" s="255"/>
      <c r="E9" s="255"/>
      <c r="F9" s="260"/>
      <c r="G9" s="260"/>
      <c r="H9" s="260"/>
      <c r="I9" s="260"/>
      <c r="J9" s="260"/>
      <c r="K9" s="260"/>
      <c r="L9" s="260"/>
      <c r="M9" s="260"/>
    </row>
    <row r="10" spans="1:251" x14ac:dyDescent="0.2">
      <c r="A10" s="21" t="s">
        <v>314</v>
      </c>
      <c r="C10" s="289" t="s">
        <v>917</v>
      </c>
      <c r="D10" s="287"/>
      <c r="E10" s="287"/>
      <c r="F10" s="288"/>
      <c r="G10" s="288"/>
      <c r="H10" s="288"/>
      <c r="I10" s="288"/>
      <c r="J10" s="288"/>
      <c r="K10" s="288"/>
      <c r="L10" s="288"/>
    </row>
    <row r="11" spans="1:251" x14ac:dyDescent="0.2">
      <c r="A11" s="21"/>
      <c r="C11" s="256"/>
      <c r="D11" s="255"/>
      <c r="E11" s="255"/>
    </row>
    <row r="12" spans="1:251" ht="16.5" x14ac:dyDescent="0.3">
      <c r="A12" s="258"/>
      <c r="B12" s="290" t="s">
        <v>902</v>
      </c>
      <c r="C12" s="291"/>
      <c r="D12" s="288"/>
      <c r="E12" s="288"/>
      <c r="F12" s="288"/>
      <c r="G12" s="288"/>
      <c r="H12" s="288"/>
      <c r="I12" s="288"/>
      <c r="J12" s="288"/>
      <c r="K12" s="288"/>
      <c r="L12" s="288"/>
      <c r="M12" s="259"/>
    </row>
    <row r="13" spans="1:251" ht="16.5" x14ac:dyDescent="0.3">
      <c r="A13" s="258"/>
      <c r="B13" s="290" t="s">
        <v>903</v>
      </c>
      <c r="C13" s="291"/>
      <c r="D13" s="288"/>
      <c r="E13" s="288"/>
      <c r="F13" s="288"/>
      <c r="G13" s="288"/>
      <c r="H13" s="288"/>
      <c r="I13" s="288"/>
      <c r="J13" s="288"/>
      <c r="K13" s="288"/>
      <c r="L13" s="288"/>
      <c r="M13" s="259"/>
    </row>
    <row r="15" spans="1:251" ht="18.75" outlineLevel="1" x14ac:dyDescent="0.3">
      <c r="A15" s="276" t="s">
        <v>334</v>
      </c>
      <c r="B15" s="276"/>
      <c r="C15" s="276"/>
      <c r="D15" s="276"/>
      <c r="E15" s="276"/>
    </row>
    <row r="16" spans="1:251" ht="13.5" outlineLevel="1" thickBot="1" x14ac:dyDescent="0.25">
      <c r="A16" s="308" t="s">
        <v>20</v>
      </c>
      <c r="B16" s="308"/>
      <c r="C16" s="308"/>
      <c r="D16" s="308"/>
      <c r="E16" s="308"/>
      <c r="BR16" s="26" t="str">
        <f>A16</f>
        <v>Разметка стоянок и монтаж дорожных знаков</v>
      </c>
      <c r="IQ16" s="23"/>
    </row>
    <row r="17" spans="1:251" ht="12.75" customHeight="1" thickBot="1" x14ac:dyDescent="0.25">
      <c r="A17" s="223" t="s">
        <v>344</v>
      </c>
      <c r="B17" s="224" t="s">
        <v>345</v>
      </c>
      <c r="C17" s="224" t="s">
        <v>346</v>
      </c>
      <c r="D17" s="224" t="s">
        <v>347</v>
      </c>
      <c r="E17" s="224" t="s">
        <v>348</v>
      </c>
    </row>
    <row r="18" spans="1:251" ht="13.5" thickBot="1" x14ac:dyDescent="0.25">
      <c r="A18" s="49">
        <v>1</v>
      </c>
      <c r="B18" s="49">
        <v>2</v>
      </c>
      <c r="C18" s="49">
        <v>3</v>
      </c>
      <c r="D18" s="49">
        <v>4</v>
      </c>
      <c r="E18" s="49">
        <v>5</v>
      </c>
    </row>
    <row r="19" spans="1:251" x14ac:dyDescent="0.2">
      <c r="A19" s="54">
        <v>1</v>
      </c>
      <c r="B19" s="62" t="s">
        <v>23</v>
      </c>
      <c r="C19" s="55" t="s">
        <v>24</v>
      </c>
      <c r="D19" s="56" t="s">
        <v>25</v>
      </c>
      <c r="E19" s="57">
        <v>0.64600000000000002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</row>
    <row r="20" spans="1:251" x14ac:dyDescent="0.2">
      <c r="A20" s="121">
        <v>2</v>
      </c>
      <c r="B20" s="128" t="s">
        <v>46</v>
      </c>
      <c r="C20" s="122" t="s">
        <v>47</v>
      </c>
      <c r="D20" s="123" t="s">
        <v>25</v>
      </c>
      <c r="E20" s="124">
        <v>3.7499999999999999E-2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</row>
    <row r="21" spans="1:251" ht="24" x14ac:dyDescent="0.2">
      <c r="A21" s="121">
        <v>3</v>
      </c>
      <c r="B21" s="128" t="s">
        <v>58</v>
      </c>
      <c r="C21" s="122" t="s">
        <v>59</v>
      </c>
      <c r="D21" s="123" t="s">
        <v>60</v>
      </c>
      <c r="E21" s="124">
        <v>1.6400000000000001E-2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</row>
    <row r="22" spans="1:251" ht="24" x14ac:dyDescent="0.2">
      <c r="A22" s="121">
        <v>4</v>
      </c>
      <c r="B22" s="128" t="s">
        <v>87</v>
      </c>
      <c r="C22" s="122" t="s">
        <v>88</v>
      </c>
      <c r="D22" s="123" t="s">
        <v>89</v>
      </c>
      <c r="E22" s="124">
        <v>0.02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</row>
    <row r="23" spans="1:251" ht="18.75" outlineLevel="1" x14ac:dyDescent="0.3">
      <c r="A23" s="276" t="s">
        <v>517</v>
      </c>
      <c r="B23" s="276"/>
      <c r="C23" s="276"/>
      <c r="D23" s="276"/>
      <c r="E23" s="276"/>
    </row>
    <row r="24" spans="1:251" ht="13.5" outlineLevel="1" thickBot="1" x14ac:dyDescent="0.25">
      <c r="A24" s="308" t="s">
        <v>518</v>
      </c>
      <c r="B24" s="308"/>
      <c r="C24" s="308"/>
      <c r="D24" s="308"/>
      <c r="E24" s="308"/>
      <c r="BR24" s="26" t="str">
        <f>A24</f>
        <v>Вертикальная планировка</v>
      </c>
      <c r="IQ24" s="23"/>
    </row>
    <row r="25" spans="1:251" ht="12.75" customHeight="1" thickBot="1" x14ac:dyDescent="0.25">
      <c r="A25" s="223" t="s">
        <v>344</v>
      </c>
      <c r="B25" s="224" t="s">
        <v>345</v>
      </c>
      <c r="C25" s="224" t="s">
        <v>346</v>
      </c>
      <c r="D25" s="224" t="s">
        <v>347</v>
      </c>
      <c r="E25" s="224" t="s">
        <v>348</v>
      </c>
      <c r="F25" s="221"/>
    </row>
    <row r="26" spans="1:251" ht="13.5" thickBot="1" x14ac:dyDescent="0.25">
      <c r="A26" s="222">
        <v>1</v>
      </c>
      <c r="B26" s="222">
        <v>2</v>
      </c>
      <c r="C26" s="222">
        <v>3</v>
      </c>
      <c r="D26" s="222">
        <v>4</v>
      </c>
      <c r="E26" s="222">
        <v>5</v>
      </c>
      <c r="F26" s="221"/>
    </row>
    <row r="27" spans="1:251" ht="24" x14ac:dyDescent="0.2">
      <c r="A27" s="54">
        <v>1</v>
      </c>
      <c r="B27" s="62" t="s">
        <v>533</v>
      </c>
      <c r="C27" s="55" t="s">
        <v>532</v>
      </c>
      <c r="D27" s="56" t="s">
        <v>524</v>
      </c>
      <c r="E27" s="57">
        <v>13.194497</v>
      </c>
      <c r="F27" s="221"/>
    </row>
    <row r="28" spans="1:251" ht="24" x14ac:dyDescent="0.2">
      <c r="A28" s="121">
        <v>2</v>
      </c>
      <c r="B28" s="128" t="s">
        <v>531</v>
      </c>
      <c r="C28" s="122" t="s">
        <v>530</v>
      </c>
      <c r="D28" s="123" t="s">
        <v>529</v>
      </c>
      <c r="E28" s="124">
        <v>23090.369750000002</v>
      </c>
      <c r="F28" s="221"/>
    </row>
    <row r="29" spans="1:251" ht="24" x14ac:dyDescent="0.2">
      <c r="A29" s="121">
        <v>3</v>
      </c>
      <c r="B29" s="128" t="s">
        <v>528</v>
      </c>
      <c r="C29" s="122" t="s">
        <v>527</v>
      </c>
      <c r="D29" s="123" t="s">
        <v>524</v>
      </c>
      <c r="E29" s="124">
        <v>13.194497</v>
      </c>
      <c r="F29" s="221"/>
    </row>
    <row r="30" spans="1:251" ht="12.75" customHeight="1" x14ac:dyDescent="0.2">
      <c r="A30" s="121">
        <v>4</v>
      </c>
      <c r="B30" s="128" t="s">
        <v>526</v>
      </c>
      <c r="C30" s="122" t="s">
        <v>525</v>
      </c>
      <c r="D30" s="123" t="s">
        <v>524</v>
      </c>
      <c r="E30" s="124">
        <v>13.194497</v>
      </c>
      <c r="F30" s="221"/>
    </row>
    <row r="31" spans="1:251" ht="33.75" x14ac:dyDescent="0.2">
      <c r="A31" s="121">
        <v>5</v>
      </c>
      <c r="B31" s="128" t="s">
        <v>523</v>
      </c>
      <c r="C31" s="122" t="s">
        <v>522</v>
      </c>
      <c r="D31" s="123" t="s">
        <v>519</v>
      </c>
      <c r="E31" s="124">
        <v>13.194497</v>
      </c>
      <c r="F31" s="221"/>
    </row>
    <row r="32" spans="1:251" ht="12.75" customHeight="1" x14ac:dyDescent="0.2">
      <c r="A32" s="121">
        <v>6</v>
      </c>
      <c r="B32" s="128" t="s">
        <v>521</v>
      </c>
      <c r="C32" s="122" t="s">
        <v>520</v>
      </c>
      <c r="D32" s="123" t="s">
        <v>519</v>
      </c>
      <c r="E32" s="124">
        <v>13.194497</v>
      </c>
      <c r="F32" s="221"/>
    </row>
    <row r="33" spans="1:251" ht="18.75" outlineLevel="1" x14ac:dyDescent="0.3">
      <c r="A33" s="276" t="s">
        <v>535</v>
      </c>
      <c r="B33" s="276"/>
      <c r="C33" s="276"/>
      <c r="D33" s="276"/>
      <c r="E33" s="276"/>
    </row>
    <row r="34" spans="1:251" ht="13.5" outlineLevel="1" thickBot="1" x14ac:dyDescent="0.25">
      <c r="A34" s="308" t="s">
        <v>534</v>
      </c>
      <c r="B34" s="308"/>
      <c r="C34" s="308"/>
      <c r="D34" s="308"/>
      <c r="E34" s="308"/>
      <c r="BR34" s="26" t="str">
        <f>A34</f>
        <v>Устройство озеленения</v>
      </c>
      <c r="IQ34" s="23"/>
    </row>
    <row r="35" spans="1:251" ht="12.75" customHeight="1" thickBot="1" x14ac:dyDescent="0.25">
      <c r="A35" s="223" t="s">
        <v>344</v>
      </c>
      <c r="B35" s="224" t="s">
        <v>345</v>
      </c>
      <c r="C35" s="224" t="s">
        <v>346</v>
      </c>
      <c r="D35" s="224" t="s">
        <v>347</v>
      </c>
      <c r="E35" s="224" t="s">
        <v>348</v>
      </c>
    </row>
    <row r="36" spans="1:251" ht="13.5" thickBot="1" x14ac:dyDescent="0.25">
      <c r="A36" s="49">
        <v>1</v>
      </c>
      <c r="B36" s="49">
        <v>2</v>
      </c>
      <c r="C36" s="49">
        <v>3</v>
      </c>
      <c r="D36" s="49">
        <v>4</v>
      </c>
      <c r="E36" s="49">
        <v>5</v>
      </c>
    </row>
    <row r="37" spans="1:251" ht="13.5" thickBot="1" x14ac:dyDescent="0.25">
      <c r="A37" s="306" t="s">
        <v>538</v>
      </c>
      <c r="B37" s="306"/>
      <c r="C37" s="307" t="s">
        <v>556</v>
      </c>
      <c r="D37" s="307"/>
      <c r="E37" s="307"/>
    </row>
    <row r="38" spans="1:251" ht="24" x14ac:dyDescent="0.2">
      <c r="A38" s="54">
        <v>1</v>
      </c>
      <c r="B38" s="62" t="s">
        <v>555</v>
      </c>
      <c r="C38" s="55" t="s">
        <v>554</v>
      </c>
      <c r="D38" s="56" t="s">
        <v>524</v>
      </c>
      <c r="E38" s="57">
        <v>1.403</v>
      </c>
    </row>
    <row r="39" spans="1:251" ht="24" x14ac:dyDescent="0.2">
      <c r="A39" s="121">
        <v>2</v>
      </c>
      <c r="B39" s="128" t="s">
        <v>531</v>
      </c>
      <c r="C39" s="122" t="s">
        <v>530</v>
      </c>
      <c r="D39" s="123" t="s">
        <v>529</v>
      </c>
      <c r="E39" s="124">
        <v>1683.6</v>
      </c>
    </row>
    <row r="40" spans="1:251" ht="24" x14ac:dyDescent="0.2">
      <c r="A40" s="121">
        <v>3</v>
      </c>
      <c r="B40" s="128" t="s">
        <v>553</v>
      </c>
      <c r="C40" s="122" t="s">
        <v>552</v>
      </c>
      <c r="D40" s="123" t="s">
        <v>536</v>
      </c>
      <c r="E40" s="124">
        <v>53.804000000000002</v>
      </c>
    </row>
    <row r="41" spans="1:251" ht="45" x14ac:dyDescent="0.2">
      <c r="A41" s="121">
        <v>21</v>
      </c>
      <c r="B41" s="128" t="s">
        <v>541</v>
      </c>
      <c r="C41" s="122" t="s">
        <v>540</v>
      </c>
      <c r="D41" s="123" t="s">
        <v>539</v>
      </c>
      <c r="E41" s="124">
        <v>0.54</v>
      </c>
    </row>
    <row r="42" spans="1:251" ht="18.75" outlineLevel="1" x14ac:dyDescent="0.3">
      <c r="A42" s="276" t="s">
        <v>557</v>
      </c>
      <c r="B42" s="276"/>
      <c r="C42" s="276"/>
      <c r="D42" s="276"/>
      <c r="E42" s="276"/>
    </row>
    <row r="43" spans="1:251" ht="13.5" outlineLevel="1" thickBot="1" x14ac:dyDescent="0.25">
      <c r="A43" s="308" t="s">
        <v>558</v>
      </c>
      <c r="B43" s="308"/>
      <c r="C43" s="308"/>
      <c r="D43" s="308"/>
      <c r="E43" s="308"/>
      <c r="BR43" s="26" t="str">
        <f>A43</f>
        <v>Ограждение площадок</v>
      </c>
      <c r="IQ43" s="23"/>
    </row>
    <row r="44" spans="1:251" ht="12.75" customHeight="1" thickBot="1" x14ac:dyDescent="0.25">
      <c r="A44" s="223" t="s">
        <v>344</v>
      </c>
      <c r="B44" s="224" t="s">
        <v>345</v>
      </c>
      <c r="C44" s="224" t="s">
        <v>346</v>
      </c>
      <c r="D44" s="224" t="s">
        <v>347</v>
      </c>
      <c r="E44" s="224" t="s">
        <v>348</v>
      </c>
    </row>
    <row r="45" spans="1:251" ht="13.5" thickBot="1" x14ac:dyDescent="0.25">
      <c r="A45" s="222">
        <v>1</v>
      </c>
      <c r="B45" s="222">
        <v>2</v>
      </c>
      <c r="C45" s="222">
        <v>3</v>
      </c>
      <c r="D45" s="222">
        <v>4</v>
      </c>
      <c r="E45" s="222">
        <v>5</v>
      </c>
    </row>
    <row r="46" spans="1:251" ht="24" x14ac:dyDescent="0.2">
      <c r="A46" s="54">
        <v>1</v>
      </c>
      <c r="B46" s="62" t="s">
        <v>597</v>
      </c>
      <c r="C46" s="55" t="s">
        <v>596</v>
      </c>
      <c r="D46" s="56" t="s">
        <v>595</v>
      </c>
      <c r="E46" s="57">
        <v>1.04</v>
      </c>
    </row>
    <row r="47" spans="1:251" x14ac:dyDescent="0.2">
      <c r="A47" s="121">
        <v>2</v>
      </c>
      <c r="B47" s="128" t="s">
        <v>594</v>
      </c>
      <c r="C47" s="122" t="s">
        <v>593</v>
      </c>
      <c r="D47" s="123" t="s">
        <v>592</v>
      </c>
      <c r="E47" s="124">
        <v>0.01</v>
      </c>
    </row>
    <row r="48" spans="1:251" ht="56.25" x14ac:dyDescent="0.2">
      <c r="A48" s="121">
        <v>3</v>
      </c>
      <c r="B48" s="128" t="s">
        <v>591</v>
      </c>
      <c r="C48" s="122" t="s">
        <v>590</v>
      </c>
      <c r="D48" s="123" t="s">
        <v>589</v>
      </c>
      <c r="E48" s="124">
        <v>0.21</v>
      </c>
    </row>
    <row r="49" spans="1:251" ht="18.75" outlineLevel="1" x14ac:dyDescent="0.3">
      <c r="A49" s="276" t="s">
        <v>642</v>
      </c>
      <c r="B49" s="276"/>
      <c r="C49" s="276"/>
      <c r="D49" s="276"/>
      <c r="E49" s="276"/>
    </row>
    <row r="50" spans="1:251" ht="13.5" outlineLevel="1" thickBot="1" x14ac:dyDescent="0.25">
      <c r="A50" s="308" t="s">
        <v>643</v>
      </c>
      <c r="B50" s="308"/>
      <c r="C50" s="308"/>
      <c r="D50" s="308"/>
      <c r="E50" s="308"/>
      <c r="BR50" s="26" t="str">
        <f>A50</f>
        <v>Проезды и площадки</v>
      </c>
      <c r="IQ50" s="23"/>
    </row>
    <row r="51" spans="1:251" ht="12.75" customHeight="1" thickBot="1" x14ac:dyDescent="0.25">
      <c r="A51" s="223" t="s">
        <v>344</v>
      </c>
      <c r="B51" s="224" t="s">
        <v>345</v>
      </c>
      <c r="C51" s="224" t="s">
        <v>346</v>
      </c>
      <c r="D51" s="224" t="s">
        <v>347</v>
      </c>
      <c r="E51" s="224" t="s">
        <v>348</v>
      </c>
    </row>
    <row r="52" spans="1:251" ht="13.5" thickBot="1" x14ac:dyDescent="0.25">
      <c r="A52" s="49">
        <v>1</v>
      </c>
      <c r="B52" s="49">
        <v>2</v>
      </c>
      <c r="C52" s="49">
        <v>3</v>
      </c>
      <c r="D52" s="49">
        <v>4</v>
      </c>
      <c r="E52" s="49">
        <v>5</v>
      </c>
    </row>
    <row r="53" spans="1:251" ht="22.5" x14ac:dyDescent="0.2">
      <c r="A53" s="54">
        <v>1</v>
      </c>
      <c r="B53" s="62" t="s">
        <v>641</v>
      </c>
      <c r="C53" s="55" t="s">
        <v>640</v>
      </c>
      <c r="D53" s="56" t="s">
        <v>609</v>
      </c>
      <c r="E53" s="57">
        <v>1.269798</v>
      </c>
    </row>
    <row r="54" spans="1:251" ht="56.25" x14ac:dyDescent="0.2">
      <c r="A54" s="121">
        <v>2</v>
      </c>
      <c r="B54" s="128" t="s">
        <v>639</v>
      </c>
      <c r="C54" s="122" t="s">
        <v>638</v>
      </c>
      <c r="D54" s="123" t="s">
        <v>637</v>
      </c>
      <c r="E54" s="124">
        <v>12.3718</v>
      </c>
    </row>
    <row r="55" spans="1:251" ht="22.5" x14ac:dyDescent="0.2">
      <c r="A55" s="121">
        <v>3</v>
      </c>
      <c r="B55" s="128" t="s">
        <v>636</v>
      </c>
      <c r="C55" s="122" t="s">
        <v>635</v>
      </c>
      <c r="D55" s="123" t="s">
        <v>600</v>
      </c>
      <c r="E55" s="124">
        <v>3.2816000000000001</v>
      </c>
    </row>
    <row r="56" spans="1:251" ht="36" x14ac:dyDescent="0.2">
      <c r="A56" s="121">
        <v>4</v>
      </c>
      <c r="B56" s="128" t="s">
        <v>634</v>
      </c>
      <c r="C56" s="122" t="s">
        <v>633</v>
      </c>
      <c r="D56" s="123" t="s">
        <v>630</v>
      </c>
      <c r="E56" s="124">
        <v>3.2816000000000001</v>
      </c>
    </row>
    <row r="57" spans="1:251" ht="24" x14ac:dyDescent="0.2">
      <c r="A57" s="121">
        <v>5</v>
      </c>
      <c r="B57" s="128" t="s">
        <v>632</v>
      </c>
      <c r="C57" s="122" t="s">
        <v>631</v>
      </c>
      <c r="D57" s="123" t="s">
        <v>630</v>
      </c>
      <c r="E57" s="124">
        <v>3.2816000000000001</v>
      </c>
    </row>
    <row r="58" spans="1:251" x14ac:dyDescent="0.2">
      <c r="A58" s="121">
        <v>6</v>
      </c>
      <c r="B58" s="128" t="s">
        <v>629</v>
      </c>
      <c r="C58" s="122" t="s">
        <v>628</v>
      </c>
      <c r="D58" s="123" t="s">
        <v>607</v>
      </c>
      <c r="E58" s="124">
        <v>1.6408</v>
      </c>
    </row>
    <row r="59" spans="1:251" ht="24" x14ac:dyDescent="0.2">
      <c r="A59" s="121">
        <v>7</v>
      </c>
      <c r="B59" s="128" t="s">
        <v>627</v>
      </c>
      <c r="C59" s="122" t="s">
        <v>626</v>
      </c>
      <c r="D59" s="123" t="s">
        <v>600</v>
      </c>
      <c r="E59" s="124">
        <v>3.2816000000000001</v>
      </c>
    </row>
    <row r="60" spans="1:251" ht="24" x14ac:dyDescent="0.2">
      <c r="A60" s="121">
        <v>8</v>
      </c>
      <c r="B60" s="128" t="s">
        <v>623</v>
      </c>
      <c r="C60" s="122" t="s">
        <v>622</v>
      </c>
      <c r="D60" s="123" t="s">
        <v>600</v>
      </c>
      <c r="E60" s="124">
        <v>3.2816000000000001</v>
      </c>
    </row>
    <row r="61" spans="1:251" ht="24" x14ac:dyDescent="0.2">
      <c r="A61" s="121">
        <v>9</v>
      </c>
      <c r="B61" s="128" t="s">
        <v>625</v>
      </c>
      <c r="C61" s="122" t="s">
        <v>624</v>
      </c>
      <c r="D61" s="123" t="s">
        <v>600</v>
      </c>
      <c r="E61" s="124">
        <v>3.2816000000000001</v>
      </c>
    </row>
    <row r="62" spans="1:251" ht="24" x14ac:dyDescent="0.2">
      <c r="A62" s="121">
        <v>10</v>
      </c>
      <c r="B62" s="128" t="s">
        <v>623</v>
      </c>
      <c r="C62" s="122" t="s">
        <v>622</v>
      </c>
      <c r="D62" s="123" t="s">
        <v>600</v>
      </c>
      <c r="E62" s="124">
        <v>3.2816000000000001</v>
      </c>
    </row>
    <row r="63" spans="1:251" ht="33.75" x14ac:dyDescent="0.2">
      <c r="A63" s="121">
        <v>11</v>
      </c>
      <c r="B63" s="128" t="s">
        <v>621</v>
      </c>
      <c r="C63" s="122" t="s">
        <v>620</v>
      </c>
      <c r="D63" s="123" t="s">
        <v>619</v>
      </c>
      <c r="E63" s="124">
        <v>6.33</v>
      </c>
    </row>
    <row r="64" spans="1:251" ht="24" x14ac:dyDescent="0.2">
      <c r="A64" s="121">
        <v>12</v>
      </c>
      <c r="B64" s="128" t="s">
        <v>46</v>
      </c>
      <c r="C64" s="122" t="s">
        <v>618</v>
      </c>
      <c r="D64" s="123" t="s">
        <v>25</v>
      </c>
      <c r="E64" s="124">
        <v>0.63300000000000001</v>
      </c>
    </row>
    <row r="65" spans="1:251" ht="18.75" outlineLevel="1" x14ac:dyDescent="0.3">
      <c r="A65" s="276" t="s">
        <v>681</v>
      </c>
      <c r="B65" s="276"/>
      <c r="C65" s="276"/>
      <c r="D65" s="276"/>
      <c r="E65" s="276"/>
    </row>
    <row r="66" spans="1:251" ht="13.5" outlineLevel="1" thickBot="1" x14ac:dyDescent="0.25">
      <c r="A66" s="308" t="s">
        <v>682</v>
      </c>
      <c r="B66" s="308"/>
      <c r="C66" s="308"/>
      <c r="D66" s="308"/>
      <c r="E66" s="308"/>
      <c r="BR66" s="26" t="str">
        <f>A66</f>
        <v>Проезды и площадки, тротуары (внеплощадочное)</v>
      </c>
      <c r="IQ66" s="23"/>
    </row>
    <row r="67" spans="1:251" ht="12.75" customHeight="1" thickBot="1" x14ac:dyDescent="0.25">
      <c r="A67" s="223" t="s">
        <v>344</v>
      </c>
      <c r="B67" s="224" t="s">
        <v>345</v>
      </c>
      <c r="C67" s="224" t="s">
        <v>346</v>
      </c>
      <c r="D67" s="224" t="s">
        <v>347</v>
      </c>
      <c r="E67" s="224" t="s">
        <v>348</v>
      </c>
    </row>
    <row r="68" spans="1:251" ht="13.5" thickBot="1" x14ac:dyDescent="0.25">
      <c r="A68" s="49">
        <v>1</v>
      </c>
      <c r="B68" s="49">
        <v>2</v>
      </c>
      <c r="C68" s="49">
        <v>3</v>
      </c>
      <c r="D68" s="49">
        <v>4</v>
      </c>
      <c r="E68" s="49">
        <v>5</v>
      </c>
    </row>
    <row r="69" spans="1:251" ht="13.5" thickBot="1" x14ac:dyDescent="0.25">
      <c r="A69" s="306" t="s">
        <v>538</v>
      </c>
      <c r="B69" s="306"/>
      <c r="C69" s="307" t="s">
        <v>680</v>
      </c>
      <c r="D69" s="307"/>
      <c r="E69" s="307"/>
    </row>
    <row r="70" spans="1:251" ht="22.5" x14ac:dyDescent="0.2">
      <c r="A70" s="54">
        <v>1</v>
      </c>
      <c r="B70" s="62" t="s">
        <v>641</v>
      </c>
      <c r="C70" s="55" t="s">
        <v>640</v>
      </c>
      <c r="D70" s="56" t="s">
        <v>609</v>
      </c>
      <c r="E70" s="57">
        <v>0.19056999999999999</v>
      </c>
    </row>
    <row r="71" spans="1:251" ht="56.25" x14ac:dyDescent="0.2">
      <c r="A71" s="121">
        <v>2</v>
      </c>
      <c r="B71" s="128" t="s">
        <v>639</v>
      </c>
      <c r="C71" s="122" t="s">
        <v>638</v>
      </c>
      <c r="D71" s="123" t="s">
        <v>637</v>
      </c>
      <c r="E71" s="124">
        <v>1.50675</v>
      </c>
    </row>
    <row r="72" spans="1:251" ht="22.5" x14ac:dyDescent="0.2">
      <c r="A72" s="121">
        <v>3</v>
      </c>
      <c r="B72" s="128" t="s">
        <v>636</v>
      </c>
      <c r="C72" s="122" t="s">
        <v>635</v>
      </c>
      <c r="D72" s="123" t="s">
        <v>600</v>
      </c>
      <c r="E72" s="124">
        <v>0.39250000000000002</v>
      </c>
    </row>
    <row r="73" spans="1:251" ht="36" x14ac:dyDescent="0.2">
      <c r="A73" s="121">
        <v>4</v>
      </c>
      <c r="B73" s="128" t="s">
        <v>634</v>
      </c>
      <c r="C73" s="122" t="s">
        <v>633</v>
      </c>
      <c r="D73" s="123" t="s">
        <v>630</v>
      </c>
      <c r="E73" s="124">
        <v>0.39250000000000002</v>
      </c>
    </row>
    <row r="74" spans="1:251" ht="24" x14ac:dyDescent="0.2">
      <c r="A74" s="121">
        <v>5</v>
      </c>
      <c r="B74" s="128" t="s">
        <v>632</v>
      </c>
      <c r="C74" s="122" t="s">
        <v>631</v>
      </c>
      <c r="D74" s="123" t="s">
        <v>630</v>
      </c>
      <c r="E74" s="124">
        <v>0.39250000000000002</v>
      </c>
    </row>
    <row r="75" spans="1:251" x14ac:dyDescent="0.2">
      <c r="A75" s="121">
        <v>6</v>
      </c>
      <c r="B75" s="128" t="s">
        <v>629</v>
      </c>
      <c r="C75" s="122" t="s">
        <v>628</v>
      </c>
      <c r="D75" s="123" t="s">
        <v>607</v>
      </c>
      <c r="E75" s="124">
        <v>0.19625000000000001</v>
      </c>
    </row>
    <row r="76" spans="1:251" ht="24" x14ac:dyDescent="0.2">
      <c r="A76" s="121">
        <v>7</v>
      </c>
      <c r="B76" s="128" t="s">
        <v>627</v>
      </c>
      <c r="C76" s="122" t="s">
        <v>626</v>
      </c>
      <c r="D76" s="123" t="s">
        <v>600</v>
      </c>
      <c r="E76" s="124">
        <v>0.39250000000000002</v>
      </c>
    </row>
    <row r="77" spans="1:251" ht="24" x14ac:dyDescent="0.2">
      <c r="A77" s="121">
        <v>8</v>
      </c>
      <c r="B77" s="128" t="s">
        <v>623</v>
      </c>
      <c r="C77" s="122" t="s">
        <v>622</v>
      </c>
      <c r="D77" s="123" t="s">
        <v>600</v>
      </c>
      <c r="E77" s="124">
        <v>0.39250000000000002</v>
      </c>
    </row>
    <row r="78" spans="1:251" ht="24" x14ac:dyDescent="0.2">
      <c r="A78" s="121">
        <v>9</v>
      </c>
      <c r="B78" s="128" t="s">
        <v>625</v>
      </c>
      <c r="C78" s="122" t="s">
        <v>624</v>
      </c>
      <c r="D78" s="123" t="s">
        <v>600</v>
      </c>
      <c r="E78" s="124">
        <v>0.39250000000000002</v>
      </c>
    </row>
    <row r="79" spans="1:251" ht="24" x14ac:dyDescent="0.2">
      <c r="A79" s="121">
        <v>10</v>
      </c>
      <c r="B79" s="128" t="s">
        <v>623</v>
      </c>
      <c r="C79" s="122" t="s">
        <v>622</v>
      </c>
      <c r="D79" s="123" t="s">
        <v>600</v>
      </c>
      <c r="E79" s="124">
        <v>0.39250000000000002</v>
      </c>
    </row>
    <row r="80" spans="1:251" ht="33.75" x14ac:dyDescent="0.2">
      <c r="A80" s="121">
        <v>11</v>
      </c>
      <c r="B80" s="128" t="s">
        <v>621</v>
      </c>
      <c r="C80" s="122" t="s">
        <v>620</v>
      </c>
      <c r="D80" s="123" t="s">
        <v>619</v>
      </c>
      <c r="E80" s="124">
        <v>0.95</v>
      </c>
    </row>
    <row r="81" spans="1:5" ht="24" x14ac:dyDescent="0.2">
      <c r="A81" s="121">
        <v>12</v>
      </c>
      <c r="B81" s="128" t="s">
        <v>46</v>
      </c>
      <c r="C81" s="122" t="s">
        <v>618</v>
      </c>
      <c r="D81" s="123" t="s">
        <v>25</v>
      </c>
      <c r="E81" s="124">
        <v>9.5000000000000001E-2</v>
      </c>
    </row>
    <row r="82" spans="1:5" ht="13.5" thickBot="1" x14ac:dyDescent="0.25">
      <c r="A82" s="306" t="s">
        <v>538</v>
      </c>
      <c r="B82" s="306"/>
      <c r="C82" s="307" t="s">
        <v>679</v>
      </c>
      <c r="D82" s="307"/>
      <c r="E82" s="307"/>
    </row>
    <row r="83" spans="1:5" ht="24" x14ac:dyDescent="0.2">
      <c r="A83" s="54">
        <v>1</v>
      </c>
      <c r="B83" s="62" t="s">
        <v>610</v>
      </c>
      <c r="C83" s="55" t="s">
        <v>678</v>
      </c>
      <c r="D83" s="56" t="s">
        <v>609</v>
      </c>
      <c r="E83" s="57">
        <v>5.7619999999999998E-2</v>
      </c>
    </row>
    <row r="84" spans="1:5" ht="22.5" x14ac:dyDescent="0.2">
      <c r="A84" s="121">
        <v>2</v>
      </c>
      <c r="B84" s="128" t="s">
        <v>641</v>
      </c>
      <c r="C84" s="122" t="s">
        <v>640</v>
      </c>
      <c r="D84" s="123" t="s">
        <v>609</v>
      </c>
      <c r="E84" s="124">
        <v>4.224E-2</v>
      </c>
    </row>
    <row r="85" spans="1:5" ht="56.25" x14ac:dyDescent="0.2">
      <c r="A85" s="121">
        <v>3</v>
      </c>
      <c r="B85" s="128" t="s">
        <v>639</v>
      </c>
      <c r="C85" s="122" t="s">
        <v>677</v>
      </c>
      <c r="D85" s="123" t="s">
        <v>637</v>
      </c>
      <c r="E85" s="124">
        <v>0.1205</v>
      </c>
    </row>
    <row r="86" spans="1:5" ht="33.75" x14ac:dyDescent="0.2">
      <c r="A86" s="121">
        <v>4</v>
      </c>
      <c r="B86" s="128" t="s">
        <v>672</v>
      </c>
      <c r="C86" s="122" t="s">
        <v>676</v>
      </c>
      <c r="D86" s="123" t="s">
        <v>668</v>
      </c>
      <c r="E86" s="124">
        <v>1.2050000000000001</v>
      </c>
    </row>
    <row r="87" spans="1:5" ht="33.75" x14ac:dyDescent="0.2">
      <c r="A87" s="121">
        <v>5</v>
      </c>
      <c r="B87" s="128" t="s">
        <v>670</v>
      </c>
      <c r="C87" s="122" t="s">
        <v>669</v>
      </c>
      <c r="D87" s="123" t="s">
        <v>668</v>
      </c>
      <c r="E87" s="124">
        <v>1.2050000000000001</v>
      </c>
    </row>
    <row r="88" spans="1:5" ht="56.25" x14ac:dyDescent="0.2">
      <c r="A88" s="121">
        <v>6</v>
      </c>
      <c r="B88" s="128" t="s">
        <v>639</v>
      </c>
      <c r="C88" s="122" t="s">
        <v>664</v>
      </c>
      <c r="D88" s="123" t="s">
        <v>637</v>
      </c>
      <c r="E88" s="124">
        <v>6.0249999999999998E-2</v>
      </c>
    </row>
    <row r="89" spans="1:5" x14ac:dyDescent="0.2">
      <c r="A89" s="121">
        <v>7</v>
      </c>
      <c r="B89" s="128" t="s">
        <v>663</v>
      </c>
      <c r="C89" s="122" t="s">
        <v>662</v>
      </c>
      <c r="D89" s="123" t="s">
        <v>542</v>
      </c>
      <c r="E89" s="124">
        <v>12.05</v>
      </c>
    </row>
    <row r="90" spans="1:5" x14ac:dyDescent="0.2">
      <c r="A90" s="121">
        <v>8</v>
      </c>
      <c r="B90" s="128" t="s">
        <v>661</v>
      </c>
      <c r="C90" s="122" t="s">
        <v>660</v>
      </c>
      <c r="D90" s="123" t="s">
        <v>657</v>
      </c>
      <c r="E90" s="124">
        <v>24.1</v>
      </c>
    </row>
    <row r="91" spans="1:5" x14ac:dyDescent="0.2">
      <c r="A91" s="121">
        <v>9</v>
      </c>
      <c r="B91" s="128" t="s">
        <v>659</v>
      </c>
      <c r="C91" s="122" t="s">
        <v>658</v>
      </c>
      <c r="D91" s="123" t="s">
        <v>657</v>
      </c>
      <c r="E91" s="124">
        <v>-24.1</v>
      </c>
    </row>
    <row r="92" spans="1:5" ht="33.75" x14ac:dyDescent="0.2">
      <c r="A92" s="121">
        <v>10</v>
      </c>
      <c r="B92" s="128" t="s">
        <v>621</v>
      </c>
      <c r="C92" s="122" t="s">
        <v>620</v>
      </c>
      <c r="D92" s="123" t="s">
        <v>619</v>
      </c>
      <c r="E92" s="124">
        <v>0.96</v>
      </c>
    </row>
    <row r="93" spans="1:5" ht="13.5" thickBot="1" x14ac:dyDescent="0.25">
      <c r="A93" s="306" t="s">
        <v>538</v>
      </c>
      <c r="B93" s="306"/>
      <c r="C93" s="307" t="s">
        <v>675</v>
      </c>
      <c r="D93" s="307"/>
      <c r="E93" s="307"/>
    </row>
    <row r="94" spans="1:5" ht="24" x14ac:dyDescent="0.2">
      <c r="A94" s="54">
        <v>1</v>
      </c>
      <c r="B94" s="62" t="s">
        <v>641</v>
      </c>
      <c r="C94" s="55" t="s">
        <v>674</v>
      </c>
      <c r="D94" s="56" t="s">
        <v>609</v>
      </c>
      <c r="E94" s="57">
        <v>0.04</v>
      </c>
    </row>
    <row r="95" spans="1:5" ht="33.75" x14ac:dyDescent="0.2">
      <c r="A95" s="121">
        <v>2</v>
      </c>
      <c r="B95" s="128" t="s">
        <v>546</v>
      </c>
      <c r="C95" s="122" t="s">
        <v>673</v>
      </c>
      <c r="D95" s="123" t="s">
        <v>545</v>
      </c>
      <c r="E95" s="124">
        <v>0.246</v>
      </c>
    </row>
    <row r="96" spans="1:5" ht="33.75" x14ac:dyDescent="0.2">
      <c r="A96" s="121">
        <v>3</v>
      </c>
      <c r="B96" s="128" t="s">
        <v>672</v>
      </c>
      <c r="C96" s="122" t="s">
        <v>671</v>
      </c>
      <c r="D96" s="123" t="s">
        <v>668</v>
      </c>
      <c r="E96" s="124">
        <v>2.46</v>
      </c>
    </row>
    <row r="97" spans="1:251" ht="33.75" x14ac:dyDescent="0.2">
      <c r="A97" s="121">
        <v>4</v>
      </c>
      <c r="B97" s="128" t="s">
        <v>670</v>
      </c>
      <c r="C97" s="122" t="s">
        <v>669</v>
      </c>
      <c r="D97" s="123" t="s">
        <v>668</v>
      </c>
      <c r="E97" s="124">
        <v>2.46</v>
      </c>
    </row>
    <row r="98" spans="1:251" ht="22.5" x14ac:dyDescent="0.2">
      <c r="A98" s="121">
        <v>5</v>
      </c>
      <c r="B98" s="128" t="s">
        <v>550</v>
      </c>
      <c r="C98" s="122" t="s">
        <v>667</v>
      </c>
      <c r="D98" s="123" t="s">
        <v>549</v>
      </c>
      <c r="E98" s="124">
        <v>3.26</v>
      </c>
    </row>
    <row r="99" spans="1:251" ht="13.5" thickBot="1" x14ac:dyDescent="0.25">
      <c r="A99" s="306" t="s">
        <v>538</v>
      </c>
      <c r="B99" s="306"/>
      <c r="C99" s="307" t="s">
        <v>666</v>
      </c>
      <c r="D99" s="307"/>
      <c r="E99" s="307"/>
    </row>
    <row r="100" spans="1:251" ht="24" x14ac:dyDescent="0.2">
      <c r="A100" s="54">
        <v>1</v>
      </c>
      <c r="B100" s="62" t="s">
        <v>605</v>
      </c>
      <c r="C100" s="55" t="s">
        <v>665</v>
      </c>
      <c r="D100" s="56" t="s">
        <v>600</v>
      </c>
      <c r="E100" s="57">
        <v>1.17E-2</v>
      </c>
    </row>
    <row r="101" spans="1:251" ht="24" x14ac:dyDescent="0.2">
      <c r="A101" s="121">
        <v>2</v>
      </c>
      <c r="B101" s="128" t="s">
        <v>604</v>
      </c>
      <c r="C101" s="122" t="s">
        <v>603</v>
      </c>
      <c r="D101" s="123" t="s">
        <v>600</v>
      </c>
      <c r="E101" s="124">
        <v>-1.17E-2</v>
      </c>
    </row>
    <row r="102" spans="1:251" ht="22.5" x14ac:dyDescent="0.2">
      <c r="A102" s="121">
        <v>3</v>
      </c>
      <c r="B102" s="128" t="s">
        <v>602</v>
      </c>
      <c r="C102" s="122" t="s">
        <v>601</v>
      </c>
      <c r="D102" s="123" t="s">
        <v>600</v>
      </c>
      <c r="E102" s="124">
        <v>1.17E-2</v>
      </c>
    </row>
    <row r="103" spans="1:251" ht="56.25" x14ac:dyDescent="0.2">
      <c r="A103" s="121">
        <v>4</v>
      </c>
      <c r="B103" s="128" t="s">
        <v>639</v>
      </c>
      <c r="C103" s="122" t="s">
        <v>664</v>
      </c>
      <c r="D103" s="123" t="s">
        <v>637</v>
      </c>
      <c r="E103" s="124">
        <v>5.8500000000000002E-3</v>
      </c>
    </row>
    <row r="104" spans="1:251" x14ac:dyDescent="0.2">
      <c r="A104" s="121">
        <v>5</v>
      </c>
      <c r="B104" s="128" t="s">
        <v>663</v>
      </c>
      <c r="C104" s="122" t="s">
        <v>662</v>
      </c>
      <c r="D104" s="123" t="s">
        <v>542</v>
      </c>
      <c r="E104" s="124">
        <v>1.17</v>
      </c>
    </row>
    <row r="105" spans="1:251" x14ac:dyDescent="0.2">
      <c r="A105" s="121">
        <v>6</v>
      </c>
      <c r="B105" s="128" t="s">
        <v>661</v>
      </c>
      <c r="C105" s="122" t="s">
        <v>660</v>
      </c>
      <c r="D105" s="123" t="s">
        <v>657</v>
      </c>
      <c r="E105" s="124">
        <v>2.34</v>
      </c>
    </row>
    <row r="106" spans="1:251" x14ac:dyDescent="0.2">
      <c r="A106" s="121">
        <v>7</v>
      </c>
      <c r="B106" s="128" t="s">
        <v>659</v>
      </c>
      <c r="C106" s="122" t="s">
        <v>658</v>
      </c>
      <c r="D106" s="123" t="s">
        <v>657</v>
      </c>
      <c r="E106" s="124">
        <v>-2.34</v>
      </c>
    </row>
    <row r="107" spans="1:251" ht="18.75" outlineLevel="1" x14ac:dyDescent="0.3">
      <c r="A107" s="276" t="s">
        <v>684</v>
      </c>
      <c r="B107" s="276"/>
      <c r="C107" s="276"/>
      <c r="D107" s="276"/>
      <c r="E107" s="276"/>
    </row>
    <row r="108" spans="1:251" ht="13.5" outlineLevel="1" thickBot="1" x14ac:dyDescent="0.25">
      <c r="A108" s="308" t="s">
        <v>683</v>
      </c>
      <c r="B108" s="308"/>
      <c r="C108" s="308"/>
      <c r="D108" s="308"/>
      <c r="E108" s="308"/>
      <c r="BR108" s="26" t="str">
        <f>A108</f>
        <v>Разметка спортивных площадок (площадка для стритбола и универсальной)</v>
      </c>
      <c r="IQ108" s="23"/>
    </row>
    <row r="109" spans="1:251" ht="12.75" customHeight="1" thickBot="1" x14ac:dyDescent="0.25">
      <c r="A109" s="223" t="s">
        <v>344</v>
      </c>
      <c r="B109" s="224" t="s">
        <v>345</v>
      </c>
      <c r="C109" s="224" t="s">
        <v>346</v>
      </c>
      <c r="D109" s="224" t="s">
        <v>347</v>
      </c>
      <c r="E109" s="224" t="s">
        <v>348</v>
      </c>
    </row>
    <row r="110" spans="1:251" ht="13.5" thickBot="1" x14ac:dyDescent="0.25">
      <c r="A110" s="222">
        <v>1</v>
      </c>
      <c r="B110" s="222">
        <v>2</v>
      </c>
      <c r="C110" s="222">
        <v>3</v>
      </c>
      <c r="D110" s="222">
        <v>4</v>
      </c>
      <c r="E110" s="222">
        <v>5</v>
      </c>
    </row>
    <row r="111" spans="1:251" ht="36" x14ac:dyDescent="0.2">
      <c r="A111" s="54">
        <v>1</v>
      </c>
      <c r="B111" s="62" t="s">
        <v>687</v>
      </c>
      <c r="C111" s="55" t="s">
        <v>686</v>
      </c>
      <c r="D111" s="56" t="s">
        <v>685</v>
      </c>
      <c r="E111" s="57">
        <v>1.58</v>
      </c>
    </row>
    <row r="112" spans="1:251" ht="18.75" outlineLevel="1" x14ac:dyDescent="0.3">
      <c r="A112" s="276" t="s">
        <v>740</v>
      </c>
      <c r="B112" s="276"/>
      <c r="C112" s="276"/>
      <c r="D112" s="276"/>
      <c r="E112" s="276"/>
    </row>
    <row r="113" spans="1:251" ht="13.5" outlineLevel="1" thickBot="1" x14ac:dyDescent="0.25">
      <c r="A113" s="308" t="s">
        <v>741</v>
      </c>
      <c r="B113" s="308"/>
      <c r="C113" s="308"/>
      <c r="D113" s="308"/>
      <c r="E113" s="308"/>
      <c r="BR113" s="26" t="str">
        <f>A113</f>
        <v>Устройство придомовых тротуаров и площадок</v>
      </c>
      <c r="IQ113" s="23"/>
    </row>
    <row r="114" spans="1:251" ht="12.75" customHeight="1" thickBot="1" x14ac:dyDescent="0.25">
      <c r="A114" s="223" t="s">
        <v>344</v>
      </c>
      <c r="B114" s="224" t="s">
        <v>345</v>
      </c>
      <c r="C114" s="224" t="s">
        <v>346</v>
      </c>
      <c r="D114" s="224" t="s">
        <v>347</v>
      </c>
      <c r="E114" s="224" t="s">
        <v>348</v>
      </c>
    </row>
    <row r="115" spans="1:251" ht="13.5" thickBot="1" x14ac:dyDescent="0.25">
      <c r="A115" s="49">
        <v>1</v>
      </c>
      <c r="B115" s="49">
        <v>2</v>
      </c>
      <c r="C115" s="49">
        <v>3</v>
      </c>
      <c r="D115" s="49">
        <v>4</v>
      </c>
      <c r="E115" s="49">
        <v>5</v>
      </c>
    </row>
    <row r="116" spans="1:251" ht="13.5" thickBot="1" x14ac:dyDescent="0.25">
      <c r="A116" s="306" t="s">
        <v>538</v>
      </c>
      <c r="B116" s="306"/>
      <c r="C116" s="307" t="s">
        <v>791</v>
      </c>
      <c r="D116" s="307"/>
      <c r="E116" s="307"/>
    </row>
    <row r="117" spans="1:251" ht="24" x14ac:dyDescent="0.2">
      <c r="A117" s="54">
        <v>1</v>
      </c>
      <c r="B117" s="62" t="s">
        <v>610</v>
      </c>
      <c r="C117" s="55" t="s">
        <v>678</v>
      </c>
      <c r="D117" s="56" t="s">
        <v>609</v>
      </c>
      <c r="E117" s="57">
        <v>1.272</v>
      </c>
    </row>
    <row r="118" spans="1:251" ht="22.5" x14ac:dyDescent="0.2">
      <c r="A118" s="121">
        <v>2</v>
      </c>
      <c r="B118" s="128" t="s">
        <v>641</v>
      </c>
      <c r="C118" s="122" t="s">
        <v>640</v>
      </c>
      <c r="D118" s="123" t="s">
        <v>609</v>
      </c>
      <c r="E118" s="124">
        <v>0.93279999999999996</v>
      </c>
    </row>
    <row r="119" spans="1:251" ht="56.25" x14ac:dyDescent="0.2">
      <c r="A119" s="121">
        <v>3</v>
      </c>
      <c r="B119" s="128" t="s">
        <v>639</v>
      </c>
      <c r="C119" s="122" t="s">
        <v>677</v>
      </c>
      <c r="D119" s="123" t="s">
        <v>637</v>
      </c>
      <c r="E119" s="124">
        <v>0.26050000000000001</v>
      </c>
    </row>
    <row r="120" spans="1:251" ht="33.75" x14ac:dyDescent="0.2">
      <c r="A120" s="121">
        <v>4</v>
      </c>
      <c r="B120" s="128" t="s">
        <v>672</v>
      </c>
      <c r="C120" s="122" t="s">
        <v>676</v>
      </c>
      <c r="D120" s="123" t="s">
        <v>668</v>
      </c>
      <c r="E120" s="124">
        <v>2.605</v>
      </c>
    </row>
    <row r="121" spans="1:251" ht="33.75" x14ac:dyDescent="0.2">
      <c r="A121" s="121">
        <v>5</v>
      </c>
      <c r="B121" s="128" t="s">
        <v>670</v>
      </c>
      <c r="C121" s="122" t="s">
        <v>669</v>
      </c>
      <c r="D121" s="123" t="s">
        <v>668</v>
      </c>
      <c r="E121" s="124">
        <v>2.605</v>
      </c>
    </row>
    <row r="122" spans="1:251" ht="56.25" x14ac:dyDescent="0.2">
      <c r="A122" s="121">
        <v>6</v>
      </c>
      <c r="B122" s="128" t="s">
        <v>639</v>
      </c>
      <c r="C122" s="122" t="s">
        <v>664</v>
      </c>
      <c r="D122" s="123" t="s">
        <v>637</v>
      </c>
      <c r="E122" s="124">
        <v>0.13025</v>
      </c>
    </row>
    <row r="123" spans="1:251" x14ac:dyDescent="0.2">
      <c r="A123" s="121">
        <v>7</v>
      </c>
      <c r="B123" s="128" t="s">
        <v>663</v>
      </c>
      <c r="C123" s="122" t="s">
        <v>662</v>
      </c>
      <c r="D123" s="123" t="s">
        <v>542</v>
      </c>
      <c r="E123" s="124">
        <v>26.05</v>
      </c>
    </row>
    <row r="124" spans="1:251" x14ac:dyDescent="0.2">
      <c r="A124" s="121">
        <v>8</v>
      </c>
      <c r="B124" s="128" t="s">
        <v>661</v>
      </c>
      <c r="C124" s="122" t="s">
        <v>660</v>
      </c>
      <c r="D124" s="123" t="s">
        <v>657</v>
      </c>
      <c r="E124" s="124">
        <v>52.1</v>
      </c>
    </row>
    <row r="125" spans="1:251" x14ac:dyDescent="0.2">
      <c r="A125" s="121">
        <v>9</v>
      </c>
      <c r="B125" s="128" t="s">
        <v>659</v>
      </c>
      <c r="C125" s="122" t="s">
        <v>658</v>
      </c>
      <c r="D125" s="123" t="s">
        <v>657</v>
      </c>
      <c r="E125" s="124">
        <v>-52.1</v>
      </c>
    </row>
    <row r="126" spans="1:251" ht="33.75" x14ac:dyDescent="0.2">
      <c r="A126" s="121">
        <v>10</v>
      </c>
      <c r="B126" s="128" t="s">
        <v>621</v>
      </c>
      <c r="C126" s="122" t="s">
        <v>620</v>
      </c>
      <c r="D126" s="123" t="s">
        <v>619</v>
      </c>
      <c r="E126" s="124">
        <v>21.2</v>
      </c>
    </row>
    <row r="127" spans="1:251" ht="13.5" thickBot="1" x14ac:dyDescent="0.25">
      <c r="A127" s="306" t="s">
        <v>538</v>
      </c>
      <c r="B127" s="306"/>
      <c r="C127" s="307" t="s">
        <v>790</v>
      </c>
      <c r="D127" s="307"/>
      <c r="E127" s="307"/>
    </row>
    <row r="128" spans="1:251" ht="56.25" x14ac:dyDescent="0.2">
      <c r="A128" s="54">
        <v>1</v>
      </c>
      <c r="B128" s="62" t="s">
        <v>639</v>
      </c>
      <c r="C128" s="55" t="s">
        <v>789</v>
      </c>
      <c r="D128" s="56" t="s">
        <v>637</v>
      </c>
      <c r="E128" s="57">
        <v>1.2962499999999999</v>
      </c>
    </row>
    <row r="129" spans="1:5" ht="33.75" x14ac:dyDescent="0.2">
      <c r="A129" s="121">
        <v>2</v>
      </c>
      <c r="B129" s="128" t="s">
        <v>672</v>
      </c>
      <c r="C129" s="122" t="s">
        <v>788</v>
      </c>
      <c r="D129" s="123" t="s">
        <v>668</v>
      </c>
      <c r="E129" s="124">
        <v>7.625</v>
      </c>
    </row>
    <row r="130" spans="1:5" ht="33.75" x14ac:dyDescent="0.2">
      <c r="A130" s="121">
        <v>3</v>
      </c>
      <c r="B130" s="128" t="s">
        <v>670</v>
      </c>
      <c r="C130" s="122" t="s">
        <v>669</v>
      </c>
      <c r="D130" s="123" t="s">
        <v>668</v>
      </c>
      <c r="E130" s="124">
        <v>7.625</v>
      </c>
    </row>
    <row r="131" spans="1:5" ht="56.25" x14ac:dyDescent="0.2">
      <c r="A131" s="121">
        <v>4</v>
      </c>
      <c r="B131" s="128" t="s">
        <v>639</v>
      </c>
      <c r="C131" s="122" t="s">
        <v>664</v>
      </c>
      <c r="D131" s="123" t="s">
        <v>637</v>
      </c>
      <c r="E131" s="124">
        <v>0.38124999999999998</v>
      </c>
    </row>
    <row r="132" spans="1:5" ht="22.5" x14ac:dyDescent="0.2">
      <c r="A132" s="121">
        <v>5</v>
      </c>
      <c r="B132" s="128" t="s">
        <v>787</v>
      </c>
      <c r="C132" s="122" t="s">
        <v>786</v>
      </c>
      <c r="D132" s="123" t="s">
        <v>785</v>
      </c>
      <c r="E132" s="124">
        <v>7.625</v>
      </c>
    </row>
    <row r="133" spans="1:5" x14ac:dyDescent="0.2">
      <c r="A133" s="121">
        <v>6</v>
      </c>
      <c r="B133" s="128" t="s">
        <v>661</v>
      </c>
      <c r="C133" s="122" t="s">
        <v>660</v>
      </c>
      <c r="D133" s="123" t="s">
        <v>657</v>
      </c>
      <c r="E133" s="124">
        <v>152.5</v>
      </c>
    </row>
    <row r="134" spans="1:5" x14ac:dyDescent="0.2">
      <c r="A134" s="121">
        <v>7</v>
      </c>
      <c r="B134" s="128" t="s">
        <v>659</v>
      </c>
      <c r="C134" s="122" t="s">
        <v>658</v>
      </c>
      <c r="D134" s="123" t="s">
        <v>657</v>
      </c>
      <c r="E134" s="124">
        <v>152.5</v>
      </c>
    </row>
    <row r="135" spans="1:5" ht="13.5" thickBot="1" x14ac:dyDescent="0.25">
      <c r="A135" s="306" t="s">
        <v>538</v>
      </c>
      <c r="B135" s="306"/>
      <c r="C135" s="307" t="s">
        <v>784</v>
      </c>
      <c r="D135" s="307"/>
      <c r="E135" s="307"/>
    </row>
    <row r="136" spans="1:5" ht="56.25" x14ac:dyDescent="0.2">
      <c r="A136" s="54">
        <v>1</v>
      </c>
      <c r="B136" s="62" t="s">
        <v>639</v>
      </c>
      <c r="C136" s="55" t="s">
        <v>677</v>
      </c>
      <c r="D136" s="56" t="s">
        <v>637</v>
      </c>
      <c r="E136" s="57">
        <v>1.2695000000000001</v>
      </c>
    </row>
    <row r="137" spans="1:5" ht="33.75" x14ac:dyDescent="0.2">
      <c r="A137" s="121">
        <v>2</v>
      </c>
      <c r="B137" s="128" t="s">
        <v>672</v>
      </c>
      <c r="C137" s="122" t="s">
        <v>676</v>
      </c>
      <c r="D137" s="123" t="s">
        <v>668</v>
      </c>
      <c r="E137" s="124">
        <v>12.695</v>
      </c>
    </row>
    <row r="138" spans="1:5" ht="33.75" x14ac:dyDescent="0.2">
      <c r="A138" s="121">
        <v>3</v>
      </c>
      <c r="B138" s="128" t="s">
        <v>670</v>
      </c>
      <c r="C138" s="122" t="s">
        <v>669</v>
      </c>
      <c r="D138" s="123" t="s">
        <v>668</v>
      </c>
      <c r="E138" s="124">
        <v>12.695</v>
      </c>
    </row>
    <row r="139" spans="1:5" ht="56.25" x14ac:dyDescent="0.2">
      <c r="A139" s="121">
        <v>4</v>
      </c>
      <c r="B139" s="128" t="s">
        <v>639</v>
      </c>
      <c r="C139" s="122" t="s">
        <v>664</v>
      </c>
      <c r="D139" s="123" t="s">
        <v>637</v>
      </c>
      <c r="E139" s="124">
        <v>0.63475000000000004</v>
      </c>
    </row>
    <row r="140" spans="1:5" x14ac:dyDescent="0.2">
      <c r="A140" s="121">
        <v>5</v>
      </c>
      <c r="B140" s="128" t="s">
        <v>663</v>
      </c>
      <c r="C140" s="122" t="s">
        <v>662</v>
      </c>
      <c r="D140" s="123" t="s">
        <v>542</v>
      </c>
      <c r="E140" s="124">
        <v>126.95</v>
      </c>
    </row>
    <row r="141" spans="1:5" x14ac:dyDescent="0.2">
      <c r="A141" s="121">
        <v>6</v>
      </c>
      <c r="B141" s="128" t="s">
        <v>661</v>
      </c>
      <c r="C141" s="122" t="s">
        <v>660</v>
      </c>
      <c r="D141" s="123" t="s">
        <v>657</v>
      </c>
      <c r="E141" s="124">
        <v>253.9</v>
      </c>
    </row>
    <row r="142" spans="1:5" x14ac:dyDescent="0.2">
      <c r="A142" s="121">
        <v>7</v>
      </c>
      <c r="B142" s="128" t="s">
        <v>659</v>
      </c>
      <c r="C142" s="122" t="s">
        <v>658</v>
      </c>
      <c r="D142" s="123" t="s">
        <v>657</v>
      </c>
      <c r="E142" s="124">
        <v>-253.9</v>
      </c>
    </row>
    <row r="143" spans="1:5" ht="13.5" thickBot="1" x14ac:dyDescent="0.25">
      <c r="A143" s="306" t="s">
        <v>538</v>
      </c>
      <c r="B143" s="306"/>
      <c r="C143" s="307" t="s">
        <v>783</v>
      </c>
      <c r="D143" s="307"/>
      <c r="E143" s="307"/>
    </row>
    <row r="144" spans="1:5" ht="56.25" x14ac:dyDescent="0.2">
      <c r="A144" s="54">
        <v>1</v>
      </c>
      <c r="B144" s="62" t="s">
        <v>639</v>
      </c>
      <c r="C144" s="55" t="s">
        <v>677</v>
      </c>
      <c r="D144" s="56" t="s">
        <v>637</v>
      </c>
      <c r="E144" s="57">
        <v>9.7500000000000003E-2</v>
      </c>
    </row>
    <row r="145" spans="1:5" ht="33.75" x14ac:dyDescent="0.2">
      <c r="A145" s="121">
        <v>2</v>
      </c>
      <c r="B145" s="128" t="s">
        <v>672</v>
      </c>
      <c r="C145" s="122" t="s">
        <v>676</v>
      </c>
      <c r="D145" s="123" t="s">
        <v>668</v>
      </c>
      <c r="E145" s="124">
        <v>0.97499999999999998</v>
      </c>
    </row>
    <row r="146" spans="1:5" ht="33.75" x14ac:dyDescent="0.2">
      <c r="A146" s="121">
        <v>3</v>
      </c>
      <c r="B146" s="128" t="s">
        <v>670</v>
      </c>
      <c r="C146" s="122" t="s">
        <v>669</v>
      </c>
      <c r="D146" s="123" t="s">
        <v>668</v>
      </c>
      <c r="E146" s="124">
        <v>0.97499999999999998</v>
      </c>
    </row>
    <row r="147" spans="1:5" ht="56.25" x14ac:dyDescent="0.2">
      <c r="A147" s="121">
        <v>4</v>
      </c>
      <c r="B147" s="128" t="s">
        <v>639</v>
      </c>
      <c r="C147" s="122" t="s">
        <v>664</v>
      </c>
      <c r="D147" s="123" t="s">
        <v>637</v>
      </c>
      <c r="E147" s="124">
        <v>4.8750000000000002E-2</v>
      </c>
    </row>
    <row r="148" spans="1:5" x14ac:dyDescent="0.2">
      <c r="A148" s="121">
        <v>5</v>
      </c>
      <c r="B148" s="128" t="s">
        <v>663</v>
      </c>
      <c r="C148" s="122" t="s">
        <v>662</v>
      </c>
      <c r="D148" s="123" t="s">
        <v>542</v>
      </c>
      <c r="E148" s="124">
        <v>9.75</v>
      </c>
    </row>
    <row r="149" spans="1:5" x14ac:dyDescent="0.2">
      <c r="A149" s="121">
        <v>6</v>
      </c>
      <c r="B149" s="128" t="s">
        <v>661</v>
      </c>
      <c r="C149" s="122" t="s">
        <v>660</v>
      </c>
      <c r="D149" s="123" t="s">
        <v>657</v>
      </c>
      <c r="E149" s="124">
        <v>19.5</v>
      </c>
    </row>
    <row r="150" spans="1:5" x14ac:dyDescent="0.2">
      <c r="A150" s="121">
        <v>7</v>
      </c>
      <c r="B150" s="128" t="s">
        <v>659</v>
      </c>
      <c r="C150" s="122" t="s">
        <v>658</v>
      </c>
      <c r="D150" s="123" t="s">
        <v>657</v>
      </c>
      <c r="E150" s="124">
        <v>-19.5</v>
      </c>
    </row>
    <row r="151" spans="1:5" ht="13.5" thickBot="1" x14ac:dyDescent="0.25">
      <c r="A151" s="306" t="s">
        <v>538</v>
      </c>
      <c r="B151" s="306"/>
      <c r="C151" s="307" t="s">
        <v>782</v>
      </c>
      <c r="D151" s="307"/>
      <c r="E151" s="307"/>
    </row>
    <row r="152" spans="1:5" ht="56.25" x14ac:dyDescent="0.2">
      <c r="A152" s="54">
        <v>1</v>
      </c>
      <c r="B152" s="62" t="s">
        <v>639</v>
      </c>
      <c r="C152" s="55" t="s">
        <v>753</v>
      </c>
      <c r="D152" s="56" t="s">
        <v>637</v>
      </c>
      <c r="E152" s="57">
        <v>3.9E-2</v>
      </c>
    </row>
    <row r="153" spans="1:5" ht="33.75" x14ac:dyDescent="0.2">
      <c r="A153" s="121">
        <v>2</v>
      </c>
      <c r="B153" s="128" t="s">
        <v>672</v>
      </c>
      <c r="C153" s="122" t="s">
        <v>752</v>
      </c>
      <c r="D153" s="123" t="s">
        <v>668</v>
      </c>
      <c r="E153" s="124">
        <v>0.26</v>
      </c>
    </row>
    <row r="154" spans="1:5" ht="33.75" x14ac:dyDescent="0.2">
      <c r="A154" s="121">
        <v>3</v>
      </c>
      <c r="B154" s="128" t="s">
        <v>670</v>
      </c>
      <c r="C154" s="122" t="s">
        <v>669</v>
      </c>
      <c r="D154" s="123" t="s">
        <v>668</v>
      </c>
      <c r="E154" s="124">
        <v>-0.26</v>
      </c>
    </row>
    <row r="155" spans="1:5" x14ac:dyDescent="0.2">
      <c r="A155" s="121">
        <v>4</v>
      </c>
      <c r="B155" s="128" t="s">
        <v>629</v>
      </c>
      <c r="C155" s="122" t="s">
        <v>628</v>
      </c>
      <c r="D155" s="123" t="s">
        <v>607</v>
      </c>
      <c r="E155" s="124">
        <v>1.2999999999999999E-2</v>
      </c>
    </row>
    <row r="156" spans="1:5" ht="24" x14ac:dyDescent="0.2">
      <c r="A156" s="121">
        <v>5</v>
      </c>
      <c r="B156" s="128" t="s">
        <v>751</v>
      </c>
      <c r="C156" s="122" t="s">
        <v>750</v>
      </c>
      <c r="D156" s="123" t="s">
        <v>747</v>
      </c>
      <c r="E156" s="124">
        <v>0.26</v>
      </c>
    </row>
    <row r="157" spans="1:5" ht="22.5" x14ac:dyDescent="0.2">
      <c r="A157" s="121">
        <v>6</v>
      </c>
      <c r="B157" s="128" t="s">
        <v>749</v>
      </c>
      <c r="C157" s="122" t="s">
        <v>748</v>
      </c>
      <c r="D157" s="123" t="s">
        <v>747</v>
      </c>
      <c r="E157" s="124">
        <v>0.26</v>
      </c>
    </row>
    <row r="158" spans="1:5" ht="13.5" thickBot="1" x14ac:dyDescent="0.25">
      <c r="A158" s="306" t="s">
        <v>538</v>
      </c>
      <c r="B158" s="306"/>
      <c r="C158" s="307" t="s">
        <v>781</v>
      </c>
      <c r="D158" s="307"/>
      <c r="E158" s="307"/>
    </row>
    <row r="159" spans="1:5" ht="56.25" x14ac:dyDescent="0.2">
      <c r="A159" s="54">
        <v>1</v>
      </c>
      <c r="B159" s="62" t="s">
        <v>639</v>
      </c>
      <c r="C159" s="55" t="s">
        <v>780</v>
      </c>
      <c r="D159" s="56" t="s">
        <v>637</v>
      </c>
      <c r="E159" s="57">
        <v>0.114</v>
      </c>
    </row>
    <row r="160" spans="1:5" ht="33.75" x14ac:dyDescent="0.2">
      <c r="A160" s="121">
        <v>2</v>
      </c>
      <c r="B160" s="128" t="s">
        <v>672</v>
      </c>
      <c r="C160" s="122" t="s">
        <v>779</v>
      </c>
      <c r="D160" s="123" t="s">
        <v>668</v>
      </c>
      <c r="E160" s="124">
        <v>0.56999999999999995</v>
      </c>
    </row>
    <row r="161" spans="1:5" ht="33.75" x14ac:dyDescent="0.2">
      <c r="A161" s="121">
        <v>3</v>
      </c>
      <c r="B161" s="128" t="s">
        <v>670</v>
      </c>
      <c r="C161" s="122" t="s">
        <v>669</v>
      </c>
      <c r="D161" s="123" t="s">
        <v>668</v>
      </c>
      <c r="E161" s="124">
        <v>0.56999999999999995</v>
      </c>
    </row>
    <row r="162" spans="1:5" x14ac:dyDescent="0.2">
      <c r="A162" s="121">
        <v>4</v>
      </c>
      <c r="B162" s="128" t="s">
        <v>629</v>
      </c>
      <c r="C162" s="122" t="s">
        <v>628</v>
      </c>
      <c r="D162" s="123" t="s">
        <v>607</v>
      </c>
      <c r="E162" s="124">
        <v>2.8500000000000001E-2</v>
      </c>
    </row>
    <row r="163" spans="1:5" ht="24" x14ac:dyDescent="0.2">
      <c r="A163" s="121">
        <v>5</v>
      </c>
      <c r="B163" s="128" t="s">
        <v>751</v>
      </c>
      <c r="C163" s="122" t="s">
        <v>750</v>
      </c>
      <c r="D163" s="123" t="s">
        <v>747</v>
      </c>
      <c r="E163" s="124">
        <v>0.56999999999999995</v>
      </c>
    </row>
    <row r="164" spans="1:5" ht="22.5" x14ac:dyDescent="0.2">
      <c r="A164" s="121">
        <v>6</v>
      </c>
      <c r="B164" s="128" t="s">
        <v>749</v>
      </c>
      <c r="C164" s="122" t="s">
        <v>748</v>
      </c>
      <c r="D164" s="123" t="s">
        <v>747</v>
      </c>
      <c r="E164" s="124">
        <v>0.56999999999999995</v>
      </c>
    </row>
    <row r="165" spans="1:5" ht="13.5" thickBot="1" x14ac:dyDescent="0.25">
      <c r="A165" s="306" t="s">
        <v>538</v>
      </c>
      <c r="B165" s="306"/>
      <c r="C165" s="307" t="s">
        <v>778</v>
      </c>
      <c r="D165" s="307"/>
      <c r="E165" s="307"/>
    </row>
    <row r="166" spans="1:5" ht="22.5" x14ac:dyDescent="0.2">
      <c r="A166" s="54">
        <v>1</v>
      </c>
      <c r="B166" s="62" t="s">
        <v>763</v>
      </c>
      <c r="C166" s="55" t="s">
        <v>762</v>
      </c>
      <c r="D166" s="56" t="s">
        <v>609</v>
      </c>
      <c r="E166" s="57">
        <v>0.21</v>
      </c>
    </row>
    <row r="167" spans="1:5" ht="13.5" thickBot="1" x14ac:dyDescent="0.25">
      <c r="A167" s="306" t="s">
        <v>538</v>
      </c>
      <c r="B167" s="306"/>
      <c r="C167" s="307" t="s">
        <v>777</v>
      </c>
      <c r="D167" s="307"/>
      <c r="E167" s="307"/>
    </row>
    <row r="168" spans="1:5" ht="56.25" x14ac:dyDescent="0.2">
      <c r="A168" s="54">
        <v>1</v>
      </c>
      <c r="B168" s="62" t="s">
        <v>639</v>
      </c>
      <c r="C168" s="55" t="s">
        <v>677</v>
      </c>
      <c r="D168" s="56" t="s">
        <v>637</v>
      </c>
      <c r="E168" s="57">
        <v>0.72</v>
      </c>
    </row>
    <row r="169" spans="1:5" ht="33.75" x14ac:dyDescent="0.2">
      <c r="A169" s="121">
        <v>2</v>
      </c>
      <c r="B169" s="128" t="s">
        <v>672</v>
      </c>
      <c r="C169" s="122" t="s">
        <v>765</v>
      </c>
      <c r="D169" s="123" t="s">
        <v>668</v>
      </c>
      <c r="E169" s="124">
        <v>7.2</v>
      </c>
    </row>
    <row r="170" spans="1:5" ht="33.75" x14ac:dyDescent="0.2">
      <c r="A170" s="121">
        <v>3</v>
      </c>
      <c r="B170" s="128" t="s">
        <v>670</v>
      </c>
      <c r="C170" s="122" t="s">
        <v>669</v>
      </c>
      <c r="D170" s="123" t="s">
        <v>668</v>
      </c>
      <c r="E170" s="124">
        <v>7.2</v>
      </c>
    </row>
    <row r="171" spans="1:5" x14ac:dyDescent="0.2">
      <c r="A171" s="121">
        <v>4</v>
      </c>
      <c r="B171" s="128" t="s">
        <v>629</v>
      </c>
      <c r="C171" s="122" t="s">
        <v>628</v>
      </c>
      <c r="D171" s="123" t="s">
        <v>607</v>
      </c>
      <c r="E171" s="124">
        <v>0.36</v>
      </c>
    </row>
    <row r="172" spans="1:5" ht="33.75" x14ac:dyDescent="0.2">
      <c r="A172" s="121">
        <v>5</v>
      </c>
      <c r="B172" s="128" t="s">
        <v>772</v>
      </c>
      <c r="C172" s="122" t="s">
        <v>771</v>
      </c>
      <c r="D172" s="123" t="s">
        <v>770</v>
      </c>
      <c r="E172" s="124">
        <v>7.2</v>
      </c>
    </row>
    <row r="173" spans="1:5" ht="24" x14ac:dyDescent="0.2">
      <c r="A173" s="121">
        <v>6</v>
      </c>
      <c r="B173" s="128" t="s">
        <v>605</v>
      </c>
      <c r="C173" s="122" t="s">
        <v>769</v>
      </c>
      <c r="D173" s="123" t="s">
        <v>600</v>
      </c>
      <c r="E173" s="124">
        <v>0.72</v>
      </c>
    </row>
    <row r="174" spans="1:5" ht="24" x14ac:dyDescent="0.2">
      <c r="A174" s="121">
        <v>7</v>
      </c>
      <c r="B174" s="128" t="s">
        <v>604</v>
      </c>
      <c r="C174" s="122" t="s">
        <v>603</v>
      </c>
      <c r="D174" s="123" t="s">
        <v>600</v>
      </c>
      <c r="E174" s="124">
        <v>-0.72</v>
      </c>
    </row>
    <row r="175" spans="1:5" ht="22.5" x14ac:dyDescent="0.2">
      <c r="A175" s="121">
        <v>8</v>
      </c>
      <c r="B175" s="128" t="s">
        <v>602</v>
      </c>
      <c r="C175" s="122" t="s">
        <v>601</v>
      </c>
      <c r="D175" s="123" t="s">
        <v>600</v>
      </c>
      <c r="E175" s="124">
        <v>0.72</v>
      </c>
    </row>
    <row r="176" spans="1:5" ht="24" x14ac:dyDescent="0.2">
      <c r="A176" s="121">
        <v>9</v>
      </c>
      <c r="B176" s="128" t="s">
        <v>768</v>
      </c>
      <c r="C176" s="122" t="s">
        <v>776</v>
      </c>
      <c r="D176" s="123" t="s">
        <v>747</v>
      </c>
      <c r="E176" s="124">
        <v>7.2</v>
      </c>
    </row>
    <row r="177" spans="1:5" ht="13.5" thickBot="1" x14ac:dyDescent="0.25">
      <c r="A177" s="306" t="s">
        <v>538</v>
      </c>
      <c r="B177" s="306"/>
      <c r="C177" s="307" t="s">
        <v>775</v>
      </c>
      <c r="D177" s="307"/>
      <c r="E177" s="307"/>
    </row>
    <row r="178" spans="1:5" ht="56.25" x14ac:dyDescent="0.2">
      <c r="A178" s="54">
        <v>1</v>
      </c>
      <c r="B178" s="62" t="s">
        <v>639</v>
      </c>
      <c r="C178" s="55" t="s">
        <v>677</v>
      </c>
      <c r="D178" s="56" t="s">
        <v>637</v>
      </c>
      <c r="E178" s="57">
        <v>0.20949999999999999</v>
      </c>
    </row>
    <row r="179" spans="1:5" ht="33.75" x14ac:dyDescent="0.2">
      <c r="A179" s="121">
        <v>2</v>
      </c>
      <c r="B179" s="128" t="s">
        <v>672</v>
      </c>
      <c r="C179" s="122" t="s">
        <v>765</v>
      </c>
      <c r="D179" s="123" t="s">
        <v>668</v>
      </c>
      <c r="E179" s="124">
        <v>2.0950000000000002</v>
      </c>
    </row>
    <row r="180" spans="1:5" ht="33.75" x14ac:dyDescent="0.2">
      <c r="A180" s="121">
        <v>3</v>
      </c>
      <c r="B180" s="128" t="s">
        <v>670</v>
      </c>
      <c r="C180" s="122" t="s">
        <v>669</v>
      </c>
      <c r="D180" s="123" t="s">
        <v>668</v>
      </c>
      <c r="E180" s="124">
        <v>2.0950000000000002</v>
      </c>
    </row>
    <row r="181" spans="1:5" x14ac:dyDescent="0.2">
      <c r="A181" s="121">
        <v>4</v>
      </c>
      <c r="B181" s="128" t="s">
        <v>629</v>
      </c>
      <c r="C181" s="122" t="s">
        <v>628</v>
      </c>
      <c r="D181" s="123" t="s">
        <v>607</v>
      </c>
      <c r="E181" s="124">
        <v>0.10475</v>
      </c>
    </row>
    <row r="182" spans="1:5" ht="33.75" x14ac:dyDescent="0.2">
      <c r="A182" s="121">
        <v>5</v>
      </c>
      <c r="B182" s="128" t="s">
        <v>772</v>
      </c>
      <c r="C182" s="122" t="s">
        <v>771</v>
      </c>
      <c r="D182" s="123" t="s">
        <v>770</v>
      </c>
      <c r="E182" s="124">
        <v>2.0950000000000002</v>
      </c>
    </row>
    <row r="183" spans="1:5" ht="24" x14ac:dyDescent="0.2">
      <c r="A183" s="121">
        <v>6</v>
      </c>
      <c r="B183" s="128" t="s">
        <v>605</v>
      </c>
      <c r="C183" s="122" t="s">
        <v>769</v>
      </c>
      <c r="D183" s="123" t="s">
        <v>600</v>
      </c>
      <c r="E183" s="124">
        <v>0.20949999999999999</v>
      </c>
    </row>
    <row r="184" spans="1:5" ht="24" x14ac:dyDescent="0.2">
      <c r="A184" s="121">
        <v>7</v>
      </c>
      <c r="B184" s="128" t="s">
        <v>604</v>
      </c>
      <c r="C184" s="122" t="s">
        <v>603</v>
      </c>
      <c r="D184" s="123" t="s">
        <v>600</v>
      </c>
      <c r="E184" s="124">
        <v>-0.20949999999999999</v>
      </c>
    </row>
    <row r="185" spans="1:5" ht="22.5" x14ac:dyDescent="0.2">
      <c r="A185" s="121">
        <v>8</v>
      </c>
      <c r="B185" s="128" t="s">
        <v>602</v>
      </c>
      <c r="C185" s="122" t="s">
        <v>601</v>
      </c>
      <c r="D185" s="123" t="s">
        <v>600</v>
      </c>
      <c r="E185" s="124">
        <v>0.20949999999999999</v>
      </c>
    </row>
    <row r="186" spans="1:5" ht="24" x14ac:dyDescent="0.2">
      <c r="A186" s="121">
        <v>9</v>
      </c>
      <c r="B186" s="128" t="s">
        <v>768</v>
      </c>
      <c r="C186" s="122" t="s">
        <v>774</v>
      </c>
      <c r="D186" s="123" t="s">
        <v>747</v>
      </c>
      <c r="E186" s="124">
        <v>2.0950000000000002</v>
      </c>
    </row>
    <row r="187" spans="1:5" ht="13.5" thickBot="1" x14ac:dyDescent="0.25">
      <c r="A187" s="306" t="s">
        <v>538</v>
      </c>
      <c r="B187" s="306"/>
      <c r="C187" s="307" t="s">
        <v>773</v>
      </c>
      <c r="D187" s="307"/>
      <c r="E187" s="307"/>
    </row>
    <row r="188" spans="1:5" ht="56.25" x14ac:dyDescent="0.2">
      <c r="A188" s="54">
        <v>1</v>
      </c>
      <c r="B188" s="62" t="s">
        <v>639</v>
      </c>
      <c r="C188" s="55" t="s">
        <v>677</v>
      </c>
      <c r="D188" s="56" t="s">
        <v>637</v>
      </c>
      <c r="E188" s="57">
        <v>0.29949999999999999</v>
      </c>
    </row>
    <row r="189" spans="1:5" ht="33.75" x14ac:dyDescent="0.2">
      <c r="A189" s="121">
        <v>2</v>
      </c>
      <c r="B189" s="128" t="s">
        <v>672</v>
      </c>
      <c r="C189" s="122" t="s">
        <v>765</v>
      </c>
      <c r="D189" s="123" t="s">
        <v>668</v>
      </c>
      <c r="E189" s="124">
        <v>2.9950000000000001</v>
      </c>
    </row>
    <row r="190" spans="1:5" ht="33.75" x14ac:dyDescent="0.2">
      <c r="A190" s="121">
        <v>3</v>
      </c>
      <c r="B190" s="128" t="s">
        <v>670</v>
      </c>
      <c r="C190" s="122" t="s">
        <v>669</v>
      </c>
      <c r="D190" s="123" t="s">
        <v>668</v>
      </c>
      <c r="E190" s="124">
        <v>2.9950000000000001</v>
      </c>
    </row>
    <row r="191" spans="1:5" x14ac:dyDescent="0.2">
      <c r="A191" s="121">
        <v>4</v>
      </c>
      <c r="B191" s="128" t="s">
        <v>629</v>
      </c>
      <c r="C191" s="122" t="s">
        <v>628</v>
      </c>
      <c r="D191" s="123" t="s">
        <v>607</v>
      </c>
      <c r="E191" s="124">
        <v>0.14974999999999999</v>
      </c>
    </row>
    <row r="192" spans="1:5" ht="33.75" x14ac:dyDescent="0.2">
      <c r="A192" s="121">
        <v>5</v>
      </c>
      <c r="B192" s="128" t="s">
        <v>772</v>
      </c>
      <c r="C192" s="122" t="s">
        <v>771</v>
      </c>
      <c r="D192" s="123" t="s">
        <v>770</v>
      </c>
      <c r="E192" s="124">
        <v>2.9950000000000001</v>
      </c>
    </row>
    <row r="193" spans="1:5" ht="24" x14ac:dyDescent="0.2">
      <c r="A193" s="121">
        <v>6</v>
      </c>
      <c r="B193" s="128" t="s">
        <v>605</v>
      </c>
      <c r="C193" s="122" t="s">
        <v>769</v>
      </c>
      <c r="D193" s="123" t="s">
        <v>600</v>
      </c>
      <c r="E193" s="124">
        <v>0.29949999999999999</v>
      </c>
    </row>
    <row r="194" spans="1:5" ht="24" x14ac:dyDescent="0.2">
      <c r="A194" s="121">
        <v>7</v>
      </c>
      <c r="B194" s="128" t="s">
        <v>604</v>
      </c>
      <c r="C194" s="122" t="s">
        <v>603</v>
      </c>
      <c r="D194" s="123" t="s">
        <v>600</v>
      </c>
      <c r="E194" s="124">
        <v>-0.29949999999999999</v>
      </c>
    </row>
    <row r="195" spans="1:5" ht="22.5" x14ac:dyDescent="0.2">
      <c r="A195" s="121">
        <v>8</v>
      </c>
      <c r="B195" s="128" t="s">
        <v>602</v>
      </c>
      <c r="C195" s="122" t="s">
        <v>601</v>
      </c>
      <c r="D195" s="123" t="s">
        <v>600</v>
      </c>
      <c r="E195" s="124">
        <v>0.29949999999999999</v>
      </c>
    </row>
    <row r="196" spans="1:5" ht="24" x14ac:dyDescent="0.2">
      <c r="A196" s="121">
        <v>9</v>
      </c>
      <c r="B196" s="128" t="s">
        <v>768</v>
      </c>
      <c r="C196" s="122" t="s">
        <v>767</v>
      </c>
      <c r="D196" s="123" t="s">
        <v>747</v>
      </c>
      <c r="E196" s="124">
        <v>2.9950000000000001</v>
      </c>
    </row>
    <row r="197" spans="1:5" ht="13.5" thickBot="1" x14ac:dyDescent="0.25">
      <c r="A197" s="306" t="s">
        <v>538</v>
      </c>
      <c r="B197" s="306"/>
      <c r="C197" s="307" t="s">
        <v>766</v>
      </c>
      <c r="D197" s="307"/>
      <c r="E197" s="307"/>
    </row>
    <row r="198" spans="1:5" ht="56.25" x14ac:dyDescent="0.2">
      <c r="A198" s="54">
        <v>1</v>
      </c>
      <c r="B198" s="62" t="s">
        <v>639</v>
      </c>
      <c r="C198" s="55" t="s">
        <v>760</v>
      </c>
      <c r="D198" s="56" t="s">
        <v>637</v>
      </c>
      <c r="E198" s="57">
        <v>0.62849999999999995</v>
      </c>
    </row>
    <row r="199" spans="1:5" ht="33.75" x14ac:dyDescent="0.2">
      <c r="A199" s="121">
        <v>2</v>
      </c>
      <c r="B199" s="128" t="s">
        <v>672</v>
      </c>
      <c r="C199" s="122" t="s">
        <v>765</v>
      </c>
      <c r="D199" s="123" t="s">
        <v>668</v>
      </c>
      <c r="E199" s="124">
        <v>6.2850000000000001</v>
      </c>
    </row>
    <row r="200" spans="1:5" ht="33.75" x14ac:dyDescent="0.2">
      <c r="A200" s="121">
        <v>3</v>
      </c>
      <c r="B200" s="128" t="s">
        <v>670</v>
      </c>
      <c r="C200" s="122" t="s">
        <v>669</v>
      </c>
      <c r="D200" s="123" t="s">
        <v>668</v>
      </c>
      <c r="E200" s="124">
        <v>6.2850000000000001</v>
      </c>
    </row>
    <row r="201" spans="1:5" ht="22.5" x14ac:dyDescent="0.2">
      <c r="A201" s="121">
        <v>4</v>
      </c>
      <c r="B201" s="128" t="s">
        <v>636</v>
      </c>
      <c r="C201" s="122" t="s">
        <v>764</v>
      </c>
      <c r="D201" s="123" t="s">
        <v>600</v>
      </c>
      <c r="E201" s="124">
        <v>0.62849999999999995</v>
      </c>
    </row>
    <row r="202" spans="1:5" ht="22.5" x14ac:dyDescent="0.2">
      <c r="A202" s="121">
        <v>5</v>
      </c>
      <c r="B202" s="128" t="s">
        <v>763</v>
      </c>
      <c r="C202" s="122" t="s">
        <v>762</v>
      </c>
      <c r="D202" s="123" t="s">
        <v>609</v>
      </c>
      <c r="E202" s="124">
        <v>7.5420000000000001E-2</v>
      </c>
    </row>
    <row r="203" spans="1:5" ht="13.5" thickBot="1" x14ac:dyDescent="0.25">
      <c r="A203" s="306" t="s">
        <v>538</v>
      </c>
      <c r="B203" s="306"/>
      <c r="C203" s="307" t="s">
        <v>761</v>
      </c>
      <c r="D203" s="307"/>
      <c r="E203" s="307"/>
    </row>
    <row r="204" spans="1:5" ht="33.75" x14ac:dyDescent="0.2">
      <c r="A204" s="54">
        <v>1</v>
      </c>
      <c r="B204" s="62" t="s">
        <v>546</v>
      </c>
      <c r="C204" s="55" t="s">
        <v>673</v>
      </c>
      <c r="D204" s="56" t="s">
        <v>545</v>
      </c>
      <c r="E204" s="57">
        <v>4.7E-2</v>
      </c>
    </row>
    <row r="205" spans="1:5" ht="56.25" x14ac:dyDescent="0.2">
      <c r="A205" s="121">
        <v>2</v>
      </c>
      <c r="B205" s="128" t="s">
        <v>639</v>
      </c>
      <c r="C205" s="122" t="s">
        <v>760</v>
      </c>
      <c r="D205" s="123" t="s">
        <v>637</v>
      </c>
      <c r="E205" s="124">
        <v>4.7E-2</v>
      </c>
    </row>
    <row r="206" spans="1:5" ht="22.5" x14ac:dyDescent="0.2">
      <c r="A206" s="121">
        <v>3</v>
      </c>
      <c r="B206" s="128" t="s">
        <v>636</v>
      </c>
      <c r="C206" s="122" t="s">
        <v>635</v>
      </c>
      <c r="D206" s="123" t="s">
        <v>600</v>
      </c>
      <c r="E206" s="124">
        <v>4.7E-2</v>
      </c>
    </row>
    <row r="207" spans="1:5" ht="33.75" x14ac:dyDescent="0.2">
      <c r="A207" s="121">
        <v>4</v>
      </c>
      <c r="B207" s="128" t="s">
        <v>672</v>
      </c>
      <c r="C207" s="122" t="s">
        <v>759</v>
      </c>
      <c r="D207" s="123" t="s">
        <v>668</v>
      </c>
      <c r="E207" s="124">
        <v>0.47</v>
      </c>
    </row>
    <row r="208" spans="1:5" ht="33.75" x14ac:dyDescent="0.2">
      <c r="A208" s="121">
        <v>5</v>
      </c>
      <c r="B208" s="128" t="s">
        <v>758</v>
      </c>
      <c r="C208" s="122" t="s">
        <v>757</v>
      </c>
      <c r="D208" s="123" t="s">
        <v>756</v>
      </c>
      <c r="E208" s="124">
        <v>9.4E-2</v>
      </c>
    </row>
    <row r="209" spans="1:5" ht="22.5" x14ac:dyDescent="0.2">
      <c r="A209" s="121">
        <v>6</v>
      </c>
      <c r="B209" s="128" t="s">
        <v>550</v>
      </c>
      <c r="C209" s="122" t="s">
        <v>667</v>
      </c>
      <c r="D209" s="123" t="s">
        <v>549</v>
      </c>
      <c r="E209" s="124">
        <v>0.27</v>
      </c>
    </row>
    <row r="210" spans="1:5" ht="13.5" thickBot="1" x14ac:dyDescent="0.25">
      <c r="A210" s="306" t="s">
        <v>538</v>
      </c>
      <c r="B210" s="306"/>
      <c r="C210" s="307" t="s">
        <v>755</v>
      </c>
      <c r="D210" s="307"/>
      <c r="E210" s="307"/>
    </row>
    <row r="211" spans="1:5" ht="33.75" x14ac:dyDescent="0.2">
      <c r="A211" s="54">
        <v>1</v>
      </c>
      <c r="B211" s="62" t="s">
        <v>546</v>
      </c>
      <c r="C211" s="55" t="s">
        <v>673</v>
      </c>
      <c r="D211" s="56" t="s">
        <v>545</v>
      </c>
      <c r="E211" s="57">
        <v>9.4999999999999998E-3</v>
      </c>
    </row>
    <row r="212" spans="1:5" ht="33.75" x14ac:dyDescent="0.2">
      <c r="A212" s="121">
        <v>2</v>
      </c>
      <c r="B212" s="128" t="s">
        <v>672</v>
      </c>
      <c r="C212" s="122" t="s">
        <v>671</v>
      </c>
      <c r="D212" s="123" t="s">
        <v>668</v>
      </c>
      <c r="E212" s="124">
        <v>9.5000000000000001E-2</v>
      </c>
    </row>
    <row r="213" spans="1:5" ht="33.75" x14ac:dyDescent="0.2">
      <c r="A213" s="121">
        <v>3</v>
      </c>
      <c r="B213" s="128" t="s">
        <v>670</v>
      </c>
      <c r="C213" s="122" t="s">
        <v>669</v>
      </c>
      <c r="D213" s="123" t="s">
        <v>668</v>
      </c>
      <c r="E213" s="124">
        <v>9.5000000000000001E-2</v>
      </c>
    </row>
    <row r="214" spans="1:5" ht="22.5" x14ac:dyDescent="0.2">
      <c r="A214" s="121">
        <v>4</v>
      </c>
      <c r="B214" s="128" t="s">
        <v>550</v>
      </c>
      <c r="C214" s="122" t="s">
        <v>667</v>
      </c>
      <c r="D214" s="123" t="s">
        <v>549</v>
      </c>
      <c r="E214" s="124">
        <v>0.13</v>
      </c>
    </row>
    <row r="215" spans="1:5" ht="13.5" thickBot="1" x14ac:dyDescent="0.25">
      <c r="A215" s="306" t="s">
        <v>538</v>
      </c>
      <c r="B215" s="306"/>
      <c r="C215" s="307" t="s">
        <v>754</v>
      </c>
      <c r="D215" s="307"/>
      <c r="E215" s="307"/>
    </row>
    <row r="216" spans="1:5" ht="56.25" x14ac:dyDescent="0.2">
      <c r="A216" s="54">
        <v>1</v>
      </c>
      <c r="B216" s="62" t="s">
        <v>639</v>
      </c>
      <c r="C216" s="55" t="s">
        <v>753</v>
      </c>
      <c r="D216" s="56" t="s">
        <v>637</v>
      </c>
      <c r="E216" s="57">
        <v>0.49349999999999999</v>
      </c>
    </row>
    <row r="217" spans="1:5" ht="33.75" x14ac:dyDescent="0.2">
      <c r="A217" s="121">
        <v>2</v>
      </c>
      <c r="B217" s="128" t="s">
        <v>672</v>
      </c>
      <c r="C217" s="122" t="s">
        <v>752</v>
      </c>
      <c r="D217" s="123" t="s">
        <v>668</v>
      </c>
      <c r="E217" s="124">
        <v>3.29</v>
      </c>
    </row>
    <row r="218" spans="1:5" ht="33.75" x14ac:dyDescent="0.2">
      <c r="A218" s="121">
        <v>3</v>
      </c>
      <c r="B218" s="128" t="s">
        <v>670</v>
      </c>
      <c r="C218" s="122" t="s">
        <v>669</v>
      </c>
      <c r="D218" s="123" t="s">
        <v>668</v>
      </c>
      <c r="E218" s="124">
        <v>-3.29</v>
      </c>
    </row>
    <row r="219" spans="1:5" x14ac:dyDescent="0.2">
      <c r="A219" s="121">
        <v>4</v>
      </c>
      <c r="B219" s="128" t="s">
        <v>629</v>
      </c>
      <c r="C219" s="122" t="s">
        <v>628</v>
      </c>
      <c r="D219" s="123" t="s">
        <v>607</v>
      </c>
      <c r="E219" s="124">
        <v>0.16450000000000001</v>
      </c>
    </row>
    <row r="220" spans="1:5" ht="24" x14ac:dyDescent="0.2">
      <c r="A220" s="121">
        <v>5</v>
      </c>
      <c r="B220" s="128" t="s">
        <v>751</v>
      </c>
      <c r="C220" s="122" t="s">
        <v>750</v>
      </c>
      <c r="D220" s="123" t="s">
        <v>747</v>
      </c>
      <c r="E220" s="124">
        <v>3.29</v>
      </c>
    </row>
    <row r="221" spans="1:5" ht="22.5" x14ac:dyDescent="0.2">
      <c r="A221" s="121">
        <v>6</v>
      </c>
      <c r="B221" s="128" t="s">
        <v>749</v>
      </c>
      <c r="C221" s="122" t="s">
        <v>748</v>
      </c>
      <c r="D221" s="123" t="s">
        <v>747</v>
      </c>
      <c r="E221" s="124">
        <v>3.29</v>
      </c>
    </row>
    <row r="222" spans="1:5" ht="13.5" thickBot="1" x14ac:dyDescent="0.25">
      <c r="A222" s="306" t="s">
        <v>538</v>
      </c>
      <c r="B222" s="306"/>
      <c r="C222" s="307" t="s">
        <v>746</v>
      </c>
      <c r="D222" s="307"/>
      <c r="E222" s="307"/>
    </row>
    <row r="223" spans="1:5" ht="24" x14ac:dyDescent="0.2">
      <c r="A223" s="54">
        <v>1</v>
      </c>
      <c r="B223" s="62" t="s">
        <v>605</v>
      </c>
      <c r="C223" s="55" t="s">
        <v>665</v>
      </c>
      <c r="D223" s="56" t="s">
        <v>600</v>
      </c>
      <c r="E223" s="57">
        <v>0.36849999999999999</v>
      </c>
    </row>
    <row r="224" spans="1:5" ht="24" x14ac:dyDescent="0.2">
      <c r="A224" s="121">
        <v>2</v>
      </c>
      <c r="B224" s="128" t="s">
        <v>604</v>
      </c>
      <c r="C224" s="122" t="s">
        <v>603</v>
      </c>
      <c r="D224" s="123" t="s">
        <v>600</v>
      </c>
      <c r="E224" s="124">
        <v>-0.36849999999999999</v>
      </c>
    </row>
    <row r="225" spans="1:5" ht="22.5" x14ac:dyDescent="0.2">
      <c r="A225" s="121">
        <v>3</v>
      </c>
      <c r="B225" s="128" t="s">
        <v>602</v>
      </c>
      <c r="C225" s="122" t="s">
        <v>601</v>
      </c>
      <c r="D225" s="123" t="s">
        <v>600</v>
      </c>
      <c r="E225" s="124">
        <v>0.36849999999999999</v>
      </c>
    </row>
    <row r="226" spans="1:5" ht="56.25" x14ac:dyDescent="0.2">
      <c r="A226" s="121">
        <v>4</v>
      </c>
      <c r="B226" s="128" t="s">
        <v>639</v>
      </c>
      <c r="C226" s="122" t="s">
        <v>664</v>
      </c>
      <c r="D226" s="123" t="s">
        <v>637</v>
      </c>
      <c r="E226" s="124">
        <v>0.18425</v>
      </c>
    </row>
    <row r="227" spans="1:5" x14ac:dyDescent="0.2">
      <c r="A227" s="121">
        <v>5</v>
      </c>
      <c r="B227" s="128" t="s">
        <v>663</v>
      </c>
      <c r="C227" s="122" t="s">
        <v>662</v>
      </c>
      <c r="D227" s="123" t="s">
        <v>542</v>
      </c>
      <c r="E227" s="124">
        <v>36.85</v>
      </c>
    </row>
    <row r="228" spans="1:5" x14ac:dyDescent="0.2">
      <c r="A228" s="121">
        <v>6</v>
      </c>
      <c r="B228" s="128" t="s">
        <v>661</v>
      </c>
      <c r="C228" s="122" t="s">
        <v>660</v>
      </c>
      <c r="D228" s="123" t="s">
        <v>657</v>
      </c>
      <c r="E228" s="124">
        <v>73.709999999999994</v>
      </c>
    </row>
    <row r="229" spans="1:5" x14ac:dyDescent="0.2">
      <c r="A229" s="121">
        <v>7</v>
      </c>
      <c r="B229" s="128" t="s">
        <v>659</v>
      </c>
      <c r="C229" s="122" t="s">
        <v>658</v>
      </c>
      <c r="D229" s="123" t="s">
        <v>657</v>
      </c>
      <c r="E229" s="124">
        <v>-73.709999999999994</v>
      </c>
    </row>
    <row r="230" spans="1:5" ht="13.5" thickBot="1" x14ac:dyDescent="0.25">
      <c r="A230" s="306" t="s">
        <v>538</v>
      </c>
      <c r="B230" s="306"/>
      <c r="C230" s="307" t="s">
        <v>745</v>
      </c>
      <c r="D230" s="307"/>
      <c r="E230" s="307"/>
    </row>
    <row r="231" spans="1:5" ht="24" x14ac:dyDescent="0.2">
      <c r="A231" s="54">
        <v>1</v>
      </c>
      <c r="B231" s="62" t="s">
        <v>605</v>
      </c>
      <c r="C231" s="55" t="s">
        <v>665</v>
      </c>
      <c r="D231" s="56" t="s">
        <v>600</v>
      </c>
      <c r="E231" s="57">
        <v>2.4250000000000001E-2</v>
      </c>
    </row>
    <row r="232" spans="1:5" ht="24" x14ac:dyDescent="0.2">
      <c r="A232" s="121">
        <v>2</v>
      </c>
      <c r="B232" s="128" t="s">
        <v>604</v>
      </c>
      <c r="C232" s="122" t="s">
        <v>603</v>
      </c>
      <c r="D232" s="123" t="s">
        <v>600</v>
      </c>
      <c r="E232" s="124">
        <v>-2.4250000000000001E-2</v>
      </c>
    </row>
    <row r="233" spans="1:5" ht="22.5" x14ac:dyDescent="0.2">
      <c r="A233" s="121">
        <v>3</v>
      </c>
      <c r="B233" s="128" t="s">
        <v>602</v>
      </c>
      <c r="C233" s="122" t="s">
        <v>601</v>
      </c>
      <c r="D233" s="123" t="s">
        <v>600</v>
      </c>
      <c r="E233" s="124">
        <v>2.4250000000000001E-2</v>
      </c>
    </row>
    <row r="234" spans="1:5" ht="56.25" x14ac:dyDescent="0.2">
      <c r="A234" s="121">
        <v>4</v>
      </c>
      <c r="B234" s="128" t="s">
        <v>639</v>
      </c>
      <c r="C234" s="122" t="s">
        <v>664</v>
      </c>
      <c r="D234" s="123" t="s">
        <v>637</v>
      </c>
      <c r="E234" s="124">
        <v>1.2125E-2</v>
      </c>
    </row>
    <row r="235" spans="1:5" x14ac:dyDescent="0.2">
      <c r="A235" s="121">
        <v>5</v>
      </c>
      <c r="B235" s="128" t="s">
        <v>663</v>
      </c>
      <c r="C235" s="122" t="s">
        <v>662</v>
      </c>
      <c r="D235" s="123" t="s">
        <v>542</v>
      </c>
      <c r="E235" s="124">
        <v>2.4249999999999998</v>
      </c>
    </row>
    <row r="236" spans="1:5" x14ac:dyDescent="0.2">
      <c r="A236" s="121">
        <v>6</v>
      </c>
      <c r="B236" s="128" t="s">
        <v>661</v>
      </c>
      <c r="C236" s="122" t="s">
        <v>660</v>
      </c>
      <c r="D236" s="123" t="s">
        <v>657</v>
      </c>
      <c r="E236" s="124">
        <v>4.8499999999999996</v>
      </c>
    </row>
    <row r="237" spans="1:5" x14ac:dyDescent="0.2">
      <c r="A237" s="121">
        <v>7</v>
      </c>
      <c r="B237" s="128" t="s">
        <v>659</v>
      </c>
      <c r="C237" s="122" t="s">
        <v>658</v>
      </c>
      <c r="D237" s="123" t="s">
        <v>657</v>
      </c>
      <c r="E237" s="124">
        <v>-4.8499999999999996</v>
      </c>
    </row>
    <row r="238" spans="1:5" ht="13.5" thickBot="1" x14ac:dyDescent="0.25">
      <c r="A238" s="306" t="s">
        <v>538</v>
      </c>
      <c r="B238" s="306"/>
      <c r="C238" s="307" t="s">
        <v>744</v>
      </c>
      <c r="D238" s="307"/>
      <c r="E238" s="307"/>
    </row>
    <row r="239" spans="1:5" ht="56.25" x14ac:dyDescent="0.2">
      <c r="A239" s="54">
        <v>1</v>
      </c>
      <c r="B239" s="62" t="s">
        <v>639</v>
      </c>
      <c r="C239" s="55" t="s">
        <v>743</v>
      </c>
      <c r="D239" s="56" t="s">
        <v>637</v>
      </c>
      <c r="E239" s="57">
        <v>7.46E-2</v>
      </c>
    </row>
    <row r="240" spans="1:5" ht="24" x14ac:dyDescent="0.2">
      <c r="A240" s="121">
        <v>2</v>
      </c>
      <c r="B240" s="128" t="s">
        <v>605</v>
      </c>
      <c r="C240" s="122" t="s">
        <v>742</v>
      </c>
      <c r="D240" s="123" t="s">
        <v>600</v>
      </c>
      <c r="E240" s="124">
        <v>3.73E-2</v>
      </c>
    </row>
    <row r="241" spans="1:5" ht="22.5" x14ac:dyDescent="0.2">
      <c r="A241" s="121">
        <v>3</v>
      </c>
      <c r="B241" s="128" t="s">
        <v>602</v>
      </c>
      <c r="C241" s="122" t="s">
        <v>601</v>
      </c>
      <c r="D241" s="123" t="s">
        <v>600</v>
      </c>
      <c r="E241" s="124">
        <v>3.73E-2</v>
      </c>
    </row>
    <row r="242" spans="1:5" ht="33.75" x14ac:dyDescent="0.2">
      <c r="A242" s="121">
        <v>4</v>
      </c>
      <c r="B242" s="128" t="s">
        <v>621</v>
      </c>
      <c r="C242" s="122" t="s">
        <v>620</v>
      </c>
      <c r="D242" s="123" t="s">
        <v>619</v>
      </c>
      <c r="E242" s="124">
        <v>0.09</v>
      </c>
    </row>
    <row r="243" spans="1:5" ht="18.75" x14ac:dyDescent="0.3">
      <c r="A243" s="276" t="s">
        <v>865</v>
      </c>
      <c r="B243" s="276"/>
      <c r="C243" s="276"/>
      <c r="D243" s="276"/>
      <c r="E243" s="276"/>
    </row>
    <row r="244" spans="1:5" x14ac:dyDescent="0.2">
      <c r="A244" s="308" t="s">
        <v>864</v>
      </c>
      <c r="B244" s="308"/>
      <c r="C244" s="308"/>
      <c r="D244" s="308"/>
      <c r="E244" s="308"/>
    </row>
    <row r="245" spans="1:5" x14ac:dyDescent="0.2">
      <c r="A245" s="21" t="s">
        <v>335</v>
      </c>
      <c r="C245" s="287" t="s">
        <v>8</v>
      </c>
      <c r="D245" s="287"/>
      <c r="E245" s="287"/>
    </row>
    <row r="246" spans="1:5" x14ac:dyDescent="0.2">
      <c r="A246" s="16" t="s">
        <v>343</v>
      </c>
    </row>
    <row r="247" spans="1:5" ht="13.5" thickBot="1" x14ac:dyDescent="0.25">
      <c r="A247" s="16" t="s">
        <v>561</v>
      </c>
    </row>
    <row r="248" spans="1:5" ht="12.75" customHeight="1" thickBot="1" x14ac:dyDescent="0.25">
      <c r="A248" s="223" t="s">
        <v>344</v>
      </c>
      <c r="B248" s="224" t="s">
        <v>345</v>
      </c>
      <c r="C248" s="224" t="s">
        <v>346</v>
      </c>
      <c r="D248" s="224" t="s">
        <v>347</v>
      </c>
      <c r="E248" s="224" t="s">
        <v>348</v>
      </c>
    </row>
    <row r="249" spans="1:5" ht="13.5" thickBot="1" x14ac:dyDescent="0.25">
      <c r="A249" s="222">
        <v>1</v>
      </c>
      <c r="B249" s="222">
        <v>2</v>
      </c>
      <c r="C249" s="222">
        <v>3</v>
      </c>
      <c r="D249" s="222">
        <v>4</v>
      </c>
      <c r="E249" s="222">
        <v>5</v>
      </c>
    </row>
    <row r="250" spans="1:5" ht="24" x14ac:dyDescent="0.2">
      <c r="A250" s="54">
        <v>1</v>
      </c>
      <c r="B250" s="62" t="s">
        <v>863</v>
      </c>
      <c r="C250" s="55" t="s">
        <v>862</v>
      </c>
      <c r="D250" s="56" t="s">
        <v>524</v>
      </c>
      <c r="E250" s="57">
        <v>4.3999999999999997E-2</v>
      </c>
    </row>
    <row r="251" spans="1:5" ht="22.5" x14ac:dyDescent="0.2">
      <c r="A251" s="121">
        <v>2</v>
      </c>
      <c r="B251" s="128" t="s">
        <v>861</v>
      </c>
      <c r="C251" s="122" t="s">
        <v>860</v>
      </c>
      <c r="D251" s="123" t="s">
        <v>859</v>
      </c>
      <c r="E251" s="124">
        <v>0.77800000000000002</v>
      </c>
    </row>
    <row r="252" spans="1:5" ht="56.25" x14ac:dyDescent="0.2">
      <c r="A252" s="121">
        <v>3</v>
      </c>
      <c r="B252" s="128" t="s">
        <v>858</v>
      </c>
      <c r="C252" s="122" t="s">
        <v>857</v>
      </c>
      <c r="D252" s="123" t="s">
        <v>852</v>
      </c>
      <c r="E252" s="124">
        <v>0.75</v>
      </c>
    </row>
    <row r="253" spans="1:5" ht="67.5" x14ac:dyDescent="0.2">
      <c r="A253" s="121">
        <v>4</v>
      </c>
      <c r="B253" s="128" t="s">
        <v>856</v>
      </c>
      <c r="C253" s="122" t="s">
        <v>855</v>
      </c>
      <c r="D253" s="123" t="s">
        <v>608</v>
      </c>
      <c r="E253" s="124">
        <v>0.20069999999999999</v>
      </c>
    </row>
    <row r="254" spans="1:5" ht="56.25" x14ac:dyDescent="0.2">
      <c r="A254" s="121">
        <v>5</v>
      </c>
      <c r="B254" s="128" t="s">
        <v>854</v>
      </c>
      <c r="C254" s="122" t="s">
        <v>853</v>
      </c>
      <c r="D254" s="123" t="s">
        <v>852</v>
      </c>
      <c r="E254" s="124">
        <v>4.6899999999999997E-2</v>
      </c>
    </row>
    <row r="255" spans="1:5" x14ac:dyDescent="0.2">
      <c r="A255" s="121">
        <v>6</v>
      </c>
      <c r="B255" s="128" t="s">
        <v>851</v>
      </c>
      <c r="C255" s="122" t="s">
        <v>850</v>
      </c>
      <c r="D255" s="123" t="s">
        <v>849</v>
      </c>
      <c r="E255" s="124">
        <v>0.96</v>
      </c>
    </row>
    <row r="256" spans="1:5" ht="24" x14ac:dyDescent="0.2">
      <c r="A256" s="121">
        <v>7</v>
      </c>
      <c r="B256" s="128" t="s">
        <v>848</v>
      </c>
      <c r="C256" s="122" t="s">
        <v>847</v>
      </c>
      <c r="D256" s="123" t="s">
        <v>846</v>
      </c>
      <c r="E256" s="124">
        <v>2.4</v>
      </c>
    </row>
    <row r="257" spans="1:7" x14ac:dyDescent="0.2">
      <c r="A257" s="121">
        <v>8</v>
      </c>
      <c r="B257" s="128" t="s">
        <v>845</v>
      </c>
      <c r="C257" s="122" t="s">
        <v>844</v>
      </c>
      <c r="D257" s="123" t="s">
        <v>843</v>
      </c>
      <c r="E257" s="124">
        <v>3.14E-3</v>
      </c>
    </row>
    <row r="258" spans="1:7" ht="67.5" x14ac:dyDescent="0.2">
      <c r="A258" s="121">
        <v>9</v>
      </c>
      <c r="B258" s="128" t="s">
        <v>842</v>
      </c>
      <c r="C258" s="122" t="s">
        <v>841</v>
      </c>
      <c r="D258" s="123" t="s">
        <v>840</v>
      </c>
      <c r="E258" s="124">
        <v>4.3499999999999997E-2</v>
      </c>
    </row>
    <row r="259" spans="1:7" ht="33.75" x14ac:dyDescent="0.2">
      <c r="A259" s="121">
        <v>10</v>
      </c>
      <c r="B259" s="128" t="s">
        <v>839</v>
      </c>
      <c r="C259" s="122" t="s">
        <v>838</v>
      </c>
      <c r="D259" s="123" t="s">
        <v>837</v>
      </c>
      <c r="E259" s="124">
        <v>1.5602</v>
      </c>
    </row>
    <row r="260" spans="1:7" ht="24" x14ac:dyDescent="0.2">
      <c r="A260" s="121">
        <v>11</v>
      </c>
      <c r="B260" s="128" t="s">
        <v>836</v>
      </c>
      <c r="C260" s="122" t="s">
        <v>835</v>
      </c>
      <c r="D260" s="123" t="s">
        <v>524</v>
      </c>
      <c r="E260" s="124">
        <v>4.3999999999999997E-2</v>
      </c>
    </row>
    <row r="261" spans="1:7" ht="33.75" x14ac:dyDescent="0.2">
      <c r="A261" s="121">
        <v>12</v>
      </c>
      <c r="B261" s="128" t="s">
        <v>834</v>
      </c>
      <c r="C261" s="122" t="s">
        <v>833</v>
      </c>
      <c r="D261" s="123" t="s">
        <v>832</v>
      </c>
      <c r="E261" s="124">
        <v>0.44</v>
      </c>
    </row>
    <row r="265" spans="1:7" ht="16.5" x14ac:dyDescent="0.3">
      <c r="A265" s="225"/>
      <c r="B265" s="226"/>
      <c r="C265" s="300" t="s">
        <v>916</v>
      </c>
      <c r="D265" s="300"/>
      <c r="E265" s="300"/>
      <c r="F265" s="227"/>
      <c r="G265" s="228"/>
    </row>
    <row r="266" spans="1:7" ht="16.5" x14ac:dyDescent="0.3">
      <c r="A266" s="225"/>
      <c r="B266" s="226"/>
      <c r="C266" s="229" t="s">
        <v>866</v>
      </c>
      <c r="D266" s="229"/>
      <c r="E266" s="229"/>
      <c r="F266" s="227"/>
      <c r="G266" s="228"/>
    </row>
    <row r="267" spans="1:7" ht="49.15" customHeight="1" x14ac:dyDescent="0.3">
      <c r="A267" s="225"/>
      <c r="B267" s="226"/>
      <c r="C267" s="305" t="s">
        <v>908</v>
      </c>
      <c r="D267" s="305"/>
      <c r="E267" s="305"/>
      <c r="F267" s="305"/>
      <c r="G267" s="305"/>
    </row>
    <row r="268" spans="1:7" ht="16.5" x14ac:dyDescent="0.3">
      <c r="A268" s="225"/>
      <c r="B268" s="226"/>
      <c r="C268" s="229" t="s">
        <v>867</v>
      </c>
      <c r="D268" s="229"/>
      <c r="E268" s="229"/>
      <c r="F268" s="227"/>
      <c r="G268" s="228"/>
    </row>
    <row r="269" spans="1:7" ht="16.5" x14ac:dyDescent="0.3">
      <c r="A269" s="225"/>
      <c r="B269" s="226"/>
      <c r="C269" s="229" t="s">
        <v>868</v>
      </c>
      <c r="D269" s="229"/>
      <c r="E269" s="229"/>
      <c r="F269" s="227"/>
      <c r="G269" s="228"/>
    </row>
    <row r="270" spans="1:7" ht="16.5" x14ac:dyDescent="0.3">
      <c r="A270" s="225"/>
      <c r="B270" s="226"/>
      <c r="C270" s="229" t="s">
        <v>869</v>
      </c>
      <c r="D270" s="229"/>
      <c r="E270" s="229"/>
      <c r="F270" s="227"/>
      <c r="G270" s="228"/>
    </row>
    <row r="271" spans="1:7" ht="16.5" x14ac:dyDescent="0.3">
      <c r="A271" s="225"/>
      <c r="B271" s="226"/>
      <c r="C271" s="229" t="s">
        <v>870</v>
      </c>
      <c r="D271" s="229"/>
      <c r="E271" s="229"/>
      <c r="F271" s="227"/>
      <c r="G271" s="228"/>
    </row>
    <row r="272" spans="1:7" ht="39" customHeight="1" x14ac:dyDescent="0.3">
      <c r="A272" s="225"/>
      <c r="B272" s="226"/>
      <c r="C272" s="301" t="s">
        <v>871</v>
      </c>
      <c r="D272" s="301"/>
      <c r="E272" s="301"/>
      <c r="F272" s="301"/>
      <c r="G272" s="301"/>
    </row>
    <row r="273" spans="1:7" ht="36" customHeight="1" x14ac:dyDescent="0.3">
      <c r="A273" s="225"/>
      <c r="B273" s="226"/>
      <c r="C273" s="301" t="s">
        <v>872</v>
      </c>
      <c r="D273" s="301"/>
      <c r="E273" s="301"/>
      <c r="F273" s="301"/>
      <c r="G273" s="301"/>
    </row>
    <row r="274" spans="1:7" ht="75.599999999999994" customHeight="1" x14ac:dyDescent="0.3">
      <c r="A274" s="230"/>
      <c r="B274" s="230"/>
      <c r="C274" s="301" t="s">
        <v>873</v>
      </c>
      <c r="D274" s="301"/>
      <c r="E274" s="301"/>
      <c r="F274" s="301"/>
      <c r="G274" s="301"/>
    </row>
    <row r="275" spans="1:7" ht="43.15" customHeight="1" x14ac:dyDescent="0.3">
      <c r="A275" s="230"/>
      <c r="B275" s="230"/>
      <c r="C275" s="302" t="s">
        <v>874</v>
      </c>
      <c r="D275" s="302"/>
      <c r="E275" s="302"/>
      <c r="F275" s="302"/>
      <c r="G275" s="302"/>
    </row>
    <row r="276" spans="1:7" ht="45.6" customHeight="1" x14ac:dyDescent="0.3">
      <c r="A276" s="225"/>
      <c r="B276" s="226"/>
      <c r="C276" s="301" t="s">
        <v>875</v>
      </c>
      <c r="D276" s="301"/>
      <c r="E276" s="301"/>
      <c r="F276" s="301"/>
      <c r="G276" s="301"/>
    </row>
    <row r="277" spans="1:7" ht="33" customHeight="1" x14ac:dyDescent="0.3">
      <c r="A277" s="225"/>
      <c r="B277" s="226"/>
      <c r="C277" s="229" t="s">
        <v>876</v>
      </c>
      <c r="D277" s="231"/>
      <c r="E277" s="231"/>
      <c r="F277" s="228"/>
      <c r="G277" s="228"/>
    </row>
    <row r="278" spans="1:7" ht="16.5" x14ac:dyDescent="0.3">
      <c r="A278" s="225"/>
      <c r="B278" s="226"/>
      <c r="C278" s="301" t="s">
        <v>877</v>
      </c>
      <c r="D278" s="301"/>
      <c r="E278" s="301"/>
      <c r="F278" s="301"/>
      <c r="G278" s="301"/>
    </row>
    <row r="279" spans="1:7" ht="44.45" customHeight="1" x14ac:dyDescent="0.3">
      <c r="A279" s="230"/>
      <c r="B279" s="230"/>
      <c r="C279" s="303" t="s">
        <v>878</v>
      </c>
      <c r="D279" s="304"/>
      <c r="E279" s="304"/>
      <c r="F279" s="304"/>
      <c r="G279" s="304"/>
    </row>
    <row r="280" spans="1:7" ht="16.5" x14ac:dyDescent="0.3">
      <c r="A280" s="225"/>
      <c r="B280" s="226"/>
      <c r="C280" s="300" t="s">
        <v>879</v>
      </c>
      <c r="D280" s="300"/>
      <c r="E280" s="300"/>
      <c r="F280" s="300"/>
      <c r="G280" s="232"/>
    </row>
    <row r="281" spans="1:7" ht="81" customHeight="1" x14ac:dyDescent="0.3">
      <c r="A281" s="225"/>
      <c r="B281" s="226"/>
      <c r="C281" s="301" t="s">
        <v>880</v>
      </c>
      <c r="D281" s="301"/>
      <c r="E281" s="301"/>
      <c r="F281" s="301"/>
      <c r="G281" s="301"/>
    </row>
    <row r="282" spans="1:7" ht="16.5" x14ac:dyDescent="0.3">
      <c r="A282" s="233"/>
      <c r="B282" s="233"/>
      <c r="C282" s="234" t="s">
        <v>881</v>
      </c>
      <c r="D282" s="235"/>
      <c r="E282" s="235"/>
      <c r="F282" s="236"/>
      <c r="G282" s="236"/>
    </row>
    <row r="283" spans="1:7" ht="16.5" x14ac:dyDescent="0.3">
      <c r="A283" s="233"/>
      <c r="B283" s="233"/>
      <c r="C283" s="234" t="s">
        <v>882</v>
      </c>
      <c r="D283" s="235"/>
      <c r="E283" s="235"/>
      <c r="F283" s="236"/>
      <c r="G283" s="236"/>
    </row>
    <row r="284" spans="1:7" ht="16.5" x14ac:dyDescent="0.3">
      <c r="A284" s="233"/>
      <c r="B284" s="233"/>
      <c r="C284" s="299" t="s">
        <v>883</v>
      </c>
      <c r="D284" s="299"/>
      <c r="E284" s="299"/>
      <c r="F284" s="299"/>
      <c r="G284" s="299"/>
    </row>
    <row r="285" spans="1:7" ht="16.5" x14ac:dyDescent="0.3">
      <c r="A285" s="237"/>
      <c r="B285" s="237"/>
      <c r="C285" s="298" t="s">
        <v>884</v>
      </c>
      <c r="D285" s="298"/>
      <c r="E285" s="298"/>
      <c r="F285" s="298"/>
      <c r="G285" s="298"/>
    </row>
    <row r="286" spans="1:7" ht="16.5" x14ac:dyDescent="0.2">
      <c r="A286" s="238"/>
      <c r="B286" s="238"/>
      <c r="C286" s="297" t="s">
        <v>885</v>
      </c>
      <c r="D286" s="297"/>
      <c r="E286" s="297"/>
      <c r="F286" s="297"/>
      <c r="G286" s="297"/>
    </row>
    <row r="287" spans="1:7" ht="16.5" x14ac:dyDescent="0.2">
      <c r="A287" s="238"/>
      <c r="B287" s="238"/>
      <c r="C287" s="297" t="s">
        <v>886</v>
      </c>
      <c r="D287" s="297"/>
      <c r="E287" s="297"/>
      <c r="F287" s="297"/>
      <c r="G287" s="297"/>
    </row>
    <row r="288" spans="1:7" ht="16.5" x14ac:dyDescent="0.2">
      <c r="A288" s="238"/>
      <c r="B288" s="238"/>
      <c r="C288" s="239" t="s">
        <v>887</v>
      </c>
      <c r="D288" s="239"/>
      <c r="E288" s="239"/>
      <c r="F288" s="240"/>
      <c r="G288" s="241"/>
    </row>
    <row r="289" spans="1:7" ht="16.5" x14ac:dyDescent="0.2">
      <c r="A289" s="238"/>
      <c r="B289" s="238"/>
      <c r="C289" s="242" t="s">
        <v>888</v>
      </c>
      <c r="D289" s="242"/>
      <c r="E289" s="242"/>
      <c r="F289" s="243"/>
      <c r="G289" s="244"/>
    </row>
    <row r="290" spans="1:7" ht="16.5" x14ac:dyDescent="0.2">
      <c r="A290" s="238"/>
      <c r="B290" s="238"/>
      <c r="C290" s="242" t="s">
        <v>889</v>
      </c>
      <c r="D290" s="242"/>
      <c r="E290" s="242"/>
      <c r="F290" s="243"/>
      <c r="G290" s="244"/>
    </row>
    <row r="291" spans="1:7" ht="16.5" x14ac:dyDescent="0.2">
      <c r="A291" s="238"/>
      <c r="B291" s="238"/>
      <c r="C291" s="242" t="s">
        <v>890</v>
      </c>
      <c r="D291" s="242"/>
      <c r="E291" s="242"/>
      <c r="F291" s="243"/>
      <c r="G291" s="244"/>
    </row>
    <row r="292" spans="1:7" ht="16.5" x14ac:dyDescent="0.2">
      <c r="A292" s="245"/>
      <c r="B292" s="245"/>
      <c r="C292" s="242" t="s">
        <v>891</v>
      </c>
      <c r="D292" s="242"/>
      <c r="E292" s="242"/>
      <c r="F292" s="243"/>
      <c r="G292" s="244"/>
    </row>
    <row r="293" spans="1:7" ht="16.5" x14ac:dyDescent="0.2">
      <c r="A293" s="246"/>
      <c r="B293" s="246"/>
      <c r="C293" s="242" t="s">
        <v>892</v>
      </c>
      <c r="D293" s="242"/>
      <c r="E293" s="242"/>
      <c r="F293" s="243"/>
      <c r="G293" s="244"/>
    </row>
    <row r="294" spans="1:7" ht="16.5" x14ac:dyDescent="0.2">
      <c r="A294" s="246"/>
      <c r="B294" s="246"/>
      <c r="C294" s="242" t="s">
        <v>893</v>
      </c>
      <c r="D294" s="242"/>
      <c r="E294" s="242"/>
      <c r="F294" s="243"/>
      <c r="G294" s="244"/>
    </row>
    <row r="295" spans="1:7" ht="16.5" x14ac:dyDescent="0.2">
      <c r="A295" s="246"/>
      <c r="B295" s="246"/>
      <c r="C295" s="242" t="s">
        <v>894</v>
      </c>
      <c r="D295" s="242"/>
      <c r="E295" s="242"/>
      <c r="F295" s="243"/>
      <c r="G295" s="244"/>
    </row>
    <row r="296" spans="1:7" ht="16.5" x14ac:dyDescent="0.2">
      <c r="A296" s="246"/>
      <c r="B296" s="246"/>
      <c r="C296" s="242" t="s">
        <v>895</v>
      </c>
      <c r="D296" s="242"/>
      <c r="E296" s="242"/>
      <c r="F296" s="243"/>
      <c r="G296" s="244"/>
    </row>
    <row r="297" spans="1:7" ht="16.5" x14ac:dyDescent="0.2">
      <c r="A297" s="246"/>
      <c r="B297" s="246"/>
      <c r="C297" s="298" t="s">
        <v>896</v>
      </c>
      <c r="D297" s="298"/>
      <c r="E297" s="298"/>
      <c r="F297" s="298"/>
      <c r="G297" s="298"/>
    </row>
    <row r="298" spans="1:7" ht="16.5" x14ac:dyDescent="0.2">
      <c r="A298" s="246"/>
      <c r="B298" s="246"/>
      <c r="C298" s="299" t="s">
        <v>897</v>
      </c>
      <c r="D298" s="299"/>
      <c r="E298" s="299"/>
      <c r="F298" s="299"/>
      <c r="G298" s="299"/>
    </row>
    <row r="299" spans="1:7" ht="16.5" x14ac:dyDescent="0.3">
      <c r="A299" s="246"/>
      <c r="B299" s="246"/>
      <c r="C299" s="247"/>
      <c r="D299" s="247"/>
      <c r="E299" s="247"/>
      <c r="F299" s="248"/>
      <c r="G299" s="248"/>
    </row>
    <row r="300" spans="1:7" ht="16.5" x14ac:dyDescent="0.3">
      <c r="A300" s="249"/>
      <c r="B300" s="249"/>
      <c r="C300" s="250" t="s">
        <v>898</v>
      </c>
      <c r="D300" s="251"/>
      <c r="E300" s="251"/>
      <c r="F300" s="252" t="s">
        <v>899</v>
      </c>
      <c r="G300" s="253"/>
    </row>
  </sheetData>
  <sheetProtection sheet="1" objects="1" scenarios="1"/>
  <mergeCells count="90">
    <mergeCell ref="A34:E34"/>
    <mergeCell ref="A33:E33"/>
    <mergeCell ref="A24:E24"/>
    <mergeCell ref="A15:E15"/>
    <mergeCell ref="A16:E16"/>
    <mergeCell ref="A23:E23"/>
    <mergeCell ref="A49:E49"/>
    <mergeCell ref="A50:E50"/>
    <mergeCell ref="A43:E43"/>
    <mergeCell ref="A37:B37"/>
    <mergeCell ref="C37:E37"/>
    <mergeCell ref="A42:E42"/>
    <mergeCell ref="A112:E112"/>
    <mergeCell ref="A113:E113"/>
    <mergeCell ref="A99:B99"/>
    <mergeCell ref="C99:E99"/>
    <mergeCell ref="A65:E65"/>
    <mergeCell ref="A66:E66"/>
    <mergeCell ref="A108:E108"/>
    <mergeCell ref="A107:E107"/>
    <mergeCell ref="A93:B93"/>
    <mergeCell ref="C93:E93"/>
    <mergeCell ref="A69:B69"/>
    <mergeCell ref="C69:E69"/>
    <mergeCell ref="A82:B82"/>
    <mergeCell ref="C82:E82"/>
    <mergeCell ref="A116:B116"/>
    <mergeCell ref="C116:E116"/>
    <mergeCell ref="A127:B127"/>
    <mergeCell ref="C127:E127"/>
    <mergeCell ref="A135:B135"/>
    <mergeCell ref="C135:E135"/>
    <mergeCell ref="A143:B143"/>
    <mergeCell ref="C143:E143"/>
    <mergeCell ref="A151:B151"/>
    <mergeCell ref="C151:E151"/>
    <mergeCell ref="A158:B158"/>
    <mergeCell ref="C158:E158"/>
    <mergeCell ref="A165:B165"/>
    <mergeCell ref="C165:E165"/>
    <mergeCell ref="A167:B167"/>
    <mergeCell ref="C167:E167"/>
    <mergeCell ref="A177:B177"/>
    <mergeCell ref="C177:E177"/>
    <mergeCell ref="A187:B187"/>
    <mergeCell ref="C187:E187"/>
    <mergeCell ref="A197:B197"/>
    <mergeCell ref="C197:E197"/>
    <mergeCell ref="A203:B203"/>
    <mergeCell ref="C203:E203"/>
    <mergeCell ref="A210:B210"/>
    <mergeCell ref="C210:E210"/>
    <mergeCell ref="A215:B215"/>
    <mergeCell ref="C215:E215"/>
    <mergeCell ref="A222:B222"/>
    <mergeCell ref="C222:E222"/>
    <mergeCell ref="C245:E245"/>
    <mergeCell ref="A230:B230"/>
    <mergeCell ref="C230:E230"/>
    <mergeCell ref="A238:B238"/>
    <mergeCell ref="C238:E238"/>
    <mergeCell ref="A244:E244"/>
    <mergeCell ref="A243:E243"/>
    <mergeCell ref="C265:E265"/>
    <mergeCell ref="C267:G267"/>
    <mergeCell ref="C272:G272"/>
    <mergeCell ref="C273:G273"/>
    <mergeCell ref="C274:G274"/>
    <mergeCell ref="C275:G275"/>
    <mergeCell ref="C276:G276"/>
    <mergeCell ref="C278:G278"/>
    <mergeCell ref="C279:G279"/>
    <mergeCell ref="C287:G287"/>
    <mergeCell ref="C297:G297"/>
    <mergeCell ref="C298:G298"/>
    <mergeCell ref="C280:F280"/>
    <mergeCell ref="C281:G281"/>
    <mergeCell ref="C284:G284"/>
    <mergeCell ref="C285:G285"/>
    <mergeCell ref="C286:G286"/>
    <mergeCell ref="C8:M8"/>
    <mergeCell ref="C10:L10"/>
    <mergeCell ref="B12:L12"/>
    <mergeCell ref="B13:L13"/>
    <mergeCell ref="C1:L1"/>
    <mergeCell ref="C2:L2"/>
    <mergeCell ref="E3:L3"/>
    <mergeCell ref="A5:K5"/>
    <mergeCell ref="C7:E7"/>
    <mergeCell ref="C3:D3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28"/>
  <sheetViews>
    <sheetView workbookViewId="0">
      <selection activeCell="I1" sqref="I1:I1048576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hidden="1" customWidth="1"/>
    <col min="9" max="9" width="8.7109375" hidden="1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265" customFormat="1" ht="11.25" x14ac:dyDescent="0.2">
      <c r="A1" s="268" t="s">
        <v>300</v>
      </c>
      <c r="B1" s="268"/>
      <c r="C1" s="268"/>
      <c r="D1" s="268"/>
      <c r="E1" s="268"/>
      <c r="F1" s="268"/>
      <c r="G1" s="268"/>
    </row>
    <row r="3" spans="1:255" x14ac:dyDescent="0.2">
      <c r="A3" s="269" t="s">
        <v>912</v>
      </c>
      <c r="B3" s="275"/>
      <c r="C3" s="275"/>
      <c r="D3" s="275"/>
      <c r="E3" s="275"/>
      <c r="F3" s="275"/>
      <c r="G3" s="275"/>
    </row>
    <row r="4" spans="1:255" ht="18.75" x14ac:dyDescent="0.3">
      <c r="A4" s="276" t="s">
        <v>447</v>
      </c>
      <c r="B4" s="276"/>
      <c r="C4" s="276"/>
      <c r="D4" s="276"/>
      <c r="E4" s="276"/>
      <c r="F4" s="276"/>
      <c r="G4" s="276"/>
    </row>
    <row r="5" spans="1:255" x14ac:dyDescent="0.2">
      <c r="A5" s="277" t="s">
        <v>448</v>
      </c>
      <c r="B5" s="277"/>
      <c r="C5" s="277"/>
      <c r="D5" s="277"/>
      <c r="E5" s="277"/>
      <c r="F5" s="277"/>
      <c r="G5" s="277"/>
    </row>
    <row r="6" spans="1:255" x14ac:dyDescent="0.2">
      <c r="A6" s="277"/>
      <c r="B6" s="277"/>
      <c r="C6" s="277"/>
      <c r="D6" s="277"/>
      <c r="E6" s="277"/>
      <c r="F6" s="277"/>
      <c r="G6" s="277"/>
    </row>
    <row r="7" spans="1:255" ht="15.75" x14ac:dyDescent="0.25">
      <c r="A7" s="14" t="s">
        <v>449</v>
      </c>
      <c r="B7" s="311"/>
      <c r="C7" s="311"/>
      <c r="D7" s="311"/>
      <c r="E7" s="311"/>
      <c r="F7" s="311"/>
      <c r="G7" s="311"/>
      <c r="BS7" s="181">
        <f>B7</f>
        <v>0</v>
      </c>
      <c r="IU7" s="23"/>
    </row>
    <row r="8" spans="1:255" ht="47.25" x14ac:dyDescent="0.25">
      <c r="A8" s="14" t="s">
        <v>313</v>
      </c>
      <c r="B8" s="278" t="s">
        <v>559</v>
      </c>
      <c r="C8" s="278"/>
      <c r="D8" s="278"/>
      <c r="E8" s="278"/>
      <c r="F8" s="278"/>
      <c r="G8" s="278"/>
      <c r="BS8" s="181" t="str">
        <f>B8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(поз.1))</v>
      </c>
      <c r="IU8" s="23"/>
    </row>
    <row r="9" spans="1:255" x14ac:dyDescent="0.2">
      <c r="A9" s="14" t="s">
        <v>314</v>
      </c>
      <c r="B9" s="312" t="s">
        <v>560</v>
      </c>
      <c r="C9" s="313"/>
      <c r="D9" s="313"/>
      <c r="E9" s="313"/>
      <c r="F9" s="313"/>
      <c r="G9" s="313"/>
      <c r="BT9" s="22">
        <f>C9</f>
        <v>0</v>
      </c>
      <c r="IU9" s="23"/>
    </row>
    <row r="11" spans="1:255" x14ac:dyDescent="0.2">
      <c r="A11" s="14" t="s">
        <v>328</v>
      </c>
    </row>
    <row r="12" spans="1:255" x14ac:dyDescent="0.2">
      <c r="A12" s="14" t="s">
        <v>561</v>
      </c>
    </row>
    <row r="13" spans="1:255" x14ac:dyDescent="0.2">
      <c r="A13" s="182" t="s">
        <v>450</v>
      </c>
      <c r="B13" s="182" t="s">
        <v>452</v>
      </c>
      <c r="C13" s="182" t="s">
        <v>455</v>
      </c>
      <c r="D13" s="182" t="s">
        <v>457</v>
      </c>
      <c r="E13" s="182" t="s">
        <v>460</v>
      </c>
      <c r="F13" s="182" t="s">
        <v>462</v>
      </c>
      <c r="G13" s="182" t="s">
        <v>464</v>
      </c>
      <c r="H13" s="182" t="s">
        <v>466</v>
      </c>
      <c r="I13" s="183" t="s">
        <v>426</v>
      </c>
    </row>
    <row r="14" spans="1:255" x14ac:dyDescent="0.2">
      <c r="A14" s="200" t="s">
        <v>451</v>
      </c>
      <c r="B14" s="200" t="s">
        <v>453</v>
      </c>
      <c r="C14" s="200" t="s">
        <v>456</v>
      </c>
      <c r="D14" s="200" t="s">
        <v>458</v>
      </c>
      <c r="E14" s="200" t="s">
        <v>461</v>
      </c>
      <c r="F14" s="200" t="s">
        <v>463</v>
      </c>
      <c r="G14" s="200" t="s">
        <v>465</v>
      </c>
      <c r="H14" s="200" t="s">
        <v>467</v>
      </c>
      <c r="I14" s="200" t="s">
        <v>362</v>
      </c>
    </row>
    <row r="15" spans="1:255" x14ac:dyDescent="0.2">
      <c r="A15" s="200"/>
      <c r="B15" s="200" t="s">
        <v>454</v>
      </c>
      <c r="C15" s="200"/>
      <c r="D15" s="200" t="s">
        <v>459</v>
      </c>
      <c r="E15" s="200"/>
      <c r="F15" s="200"/>
      <c r="G15" s="200" t="s">
        <v>463</v>
      </c>
      <c r="H15" s="200" t="s">
        <v>468</v>
      </c>
      <c r="I15" s="200"/>
    </row>
    <row r="16" spans="1:255" x14ac:dyDescent="0.2">
      <c r="A16" s="200">
        <v>1</v>
      </c>
      <c r="B16" s="200">
        <v>2</v>
      </c>
      <c r="C16" s="200">
        <v>3</v>
      </c>
      <c r="D16" s="200">
        <v>4</v>
      </c>
      <c r="E16" s="200">
        <v>5</v>
      </c>
      <c r="F16" s="200">
        <v>6</v>
      </c>
      <c r="G16" s="200">
        <v>7</v>
      </c>
      <c r="H16" s="200">
        <v>8</v>
      </c>
      <c r="I16" s="200">
        <v>9</v>
      </c>
    </row>
    <row r="17" spans="1:255" x14ac:dyDescent="0.2">
      <c r="A17" s="193"/>
      <c r="B17" s="193" t="s">
        <v>469</v>
      </c>
      <c r="C17" s="193"/>
      <c r="D17" s="193"/>
      <c r="E17" s="193"/>
      <c r="F17" s="193"/>
      <c r="G17" s="190"/>
      <c r="H17" s="190"/>
      <c r="I17" s="190"/>
    </row>
    <row r="18" spans="1:255" s="43" customFormat="1" ht="48" x14ac:dyDescent="0.2">
      <c r="A18" s="194">
        <v>2</v>
      </c>
      <c r="B18" s="195" t="s">
        <v>562</v>
      </c>
      <c r="C18" s="195" t="s">
        <v>563</v>
      </c>
      <c r="D18" s="195" t="s">
        <v>33</v>
      </c>
      <c r="E18" s="196">
        <f t="shared" ref="E18:E28" si="0">O18</f>
        <v>0.91950399999999999</v>
      </c>
      <c r="F18" s="309" t="s">
        <v>909</v>
      </c>
      <c r="G18" s="310"/>
      <c r="H18" s="199" t="s">
        <v>564</v>
      </c>
      <c r="I18" s="199" t="s">
        <v>471</v>
      </c>
      <c r="N18" s="186"/>
      <c r="O18" s="186">
        <f t="shared" ref="O18:O28" si="1">SUM(P18:IV18)</f>
        <v>0.91950399999999999</v>
      </c>
      <c r="P18" s="186">
        <f>[1]Source!I39</f>
        <v>0.91950399999999999</v>
      </c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  <c r="HJ18" s="186"/>
      <c r="HK18" s="186"/>
      <c r="HL18" s="186"/>
      <c r="HM18" s="186"/>
      <c r="HN18" s="186"/>
      <c r="HO18" s="186"/>
      <c r="HP18" s="186"/>
      <c r="HQ18" s="186"/>
      <c r="HR18" s="186"/>
      <c r="HS18" s="186"/>
      <c r="HT18" s="186"/>
      <c r="HU18" s="186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  <c r="IN18" s="186"/>
      <c r="IO18" s="186"/>
      <c r="IP18" s="186"/>
      <c r="IQ18" s="186"/>
      <c r="IR18" s="186"/>
      <c r="IS18" s="186"/>
      <c r="IT18" s="186"/>
      <c r="IU18" s="186"/>
    </row>
    <row r="19" spans="1:255" s="43" customFormat="1" ht="48" x14ac:dyDescent="0.2">
      <c r="A19" s="194">
        <v>3</v>
      </c>
      <c r="B19" s="195" t="s">
        <v>565</v>
      </c>
      <c r="C19" s="195" t="s">
        <v>566</v>
      </c>
      <c r="D19" s="195" t="s">
        <v>33</v>
      </c>
      <c r="E19" s="196">
        <f t="shared" si="0"/>
        <v>0.34239000000000003</v>
      </c>
      <c r="F19" s="309" t="s">
        <v>909</v>
      </c>
      <c r="G19" s="310"/>
      <c r="H19" s="199" t="s">
        <v>567</v>
      </c>
      <c r="I19" s="199" t="s">
        <v>471</v>
      </c>
      <c r="N19" s="186"/>
      <c r="O19" s="186">
        <f t="shared" si="1"/>
        <v>0.34239000000000003</v>
      </c>
      <c r="P19" s="186">
        <f>[1]Source!I41</f>
        <v>0.34239000000000003</v>
      </c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86"/>
      <c r="EI19" s="186"/>
      <c r="EJ19" s="186"/>
      <c r="EK19" s="186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6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  <c r="FH19" s="186"/>
      <c r="FI19" s="186"/>
      <c r="FJ19" s="186"/>
      <c r="FK19" s="186"/>
      <c r="FL19" s="186"/>
      <c r="FM19" s="186"/>
      <c r="FN19" s="186"/>
      <c r="FO19" s="186"/>
      <c r="FP19" s="186"/>
      <c r="FQ19" s="186"/>
      <c r="FR19" s="186"/>
      <c r="FS19" s="186"/>
      <c r="FT19" s="186"/>
      <c r="FU19" s="186"/>
      <c r="FV19" s="186"/>
      <c r="FW19" s="186"/>
      <c r="FX19" s="186"/>
      <c r="FY19" s="186"/>
      <c r="FZ19" s="186"/>
      <c r="GA19" s="186"/>
      <c r="GB19" s="186"/>
      <c r="GC19" s="186"/>
      <c r="GD19" s="186"/>
      <c r="GE19" s="186"/>
      <c r="GF19" s="186"/>
      <c r="GG19" s="186"/>
      <c r="GH19" s="186"/>
      <c r="GI19" s="186"/>
      <c r="GJ19" s="186"/>
      <c r="GK19" s="186"/>
      <c r="GL19" s="186"/>
      <c r="GM19" s="186"/>
      <c r="GN19" s="186"/>
      <c r="GO19" s="186"/>
      <c r="GP19" s="186"/>
      <c r="GQ19" s="186"/>
      <c r="GR19" s="186"/>
      <c r="GS19" s="186"/>
      <c r="GT19" s="186"/>
      <c r="GU19" s="186"/>
      <c r="GV19" s="186"/>
      <c r="GW19" s="186"/>
      <c r="GX19" s="186"/>
      <c r="GY19" s="186"/>
      <c r="GZ19" s="186"/>
      <c r="HA19" s="186"/>
      <c r="HB19" s="186"/>
      <c r="HC19" s="186"/>
      <c r="HD19" s="186"/>
      <c r="HE19" s="186"/>
      <c r="HF19" s="186"/>
      <c r="HG19" s="186"/>
      <c r="HH19" s="186"/>
      <c r="HI19" s="186"/>
      <c r="HJ19" s="186"/>
      <c r="HK19" s="186"/>
      <c r="HL19" s="186"/>
      <c r="HM19" s="186"/>
      <c r="HN19" s="186"/>
      <c r="HO19" s="186"/>
      <c r="HP19" s="186"/>
      <c r="HQ19" s="186"/>
      <c r="HR19" s="186"/>
      <c r="HS19" s="186"/>
      <c r="HT19" s="186"/>
      <c r="HU19" s="186"/>
      <c r="HV19" s="186"/>
      <c r="HW19" s="186"/>
      <c r="HX19" s="186"/>
      <c r="HY19" s="186"/>
      <c r="HZ19" s="186"/>
      <c r="IA19" s="186"/>
      <c r="IB19" s="186"/>
      <c r="IC19" s="186"/>
      <c r="ID19" s="186"/>
      <c r="IE19" s="186"/>
      <c r="IF19" s="186"/>
      <c r="IG19" s="186"/>
      <c r="IH19" s="186"/>
      <c r="II19" s="186"/>
      <c r="IJ19" s="186"/>
      <c r="IK19" s="186"/>
      <c r="IL19" s="186"/>
      <c r="IM19" s="186"/>
      <c r="IN19" s="186"/>
      <c r="IO19" s="186"/>
      <c r="IP19" s="186"/>
      <c r="IQ19" s="186"/>
      <c r="IR19" s="186"/>
      <c r="IS19" s="186"/>
      <c r="IT19" s="186"/>
      <c r="IU19" s="186"/>
    </row>
    <row r="20" spans="1:255" s="43" customFormat="1" ht="48" x14ac:dyDescent="0.2">
      <c r="A20" s="194">
        <v>4</v>
      </c>
      <c r="B20" s="195" t="s">
        <v>568</v>
      </c>
      <c r="C20" s="195" t="s">
        <v>569</v>
      </c>
      <c r="D20" s="195" t="s">
        <v>33</v>
      </c>
      <c r="E20" s="196">
        <f t="shared" si="0"/>
        <v>3.3709999999999997E-2</v>
      </c>
      <c r="F20" s="309" t="s">
        <v>909</v>
      </c>
      <c r="G20" s="310"/>
      <c r="H20" s="199" t="s">
        <v>570</v>
      </c>
      <c r="I20" s="199" t="s">
        <v>471</v>
      </c>
      <c r="N20" s="186"/>
      <c r="O20" s="186">
        <f t="shared" si="1"/>
        <v>3.3709999999999997E-2</v>
      </c>
      <c r="P20" s="186">
        <f>[1]Source!I53</f>
        <v>3.3709999999999997E-2</v>
      </c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186"/>
      <c r="CQ20" s="186"/>
      <c r="CR20" s="186"/>
      <c r="CS20" s="186"/>
      <c r="CT20" s="186"/>
      <c r="CU20" s="186"/>
      <c r="CV20" s="186"/>
      <c r="CW20" s="186"/>
      <c r="CX20" s="186"/>
      <c r="CY20" s="186"/>
      <c r="CZ20" s="186"/>
      <c r="DA20" s="186"/>
      <c r="DB20" s="186"/>
      <c r="DC20" s="186"/>
      <c r="DD20" s="186"/>
      <c r="DE20" s="186"/>
      <c r="DF20" s="186"/>
      <c r="DG20" s="186"/>
      <c r="DH20" s="186"/>
      <c r="DI20" s="186"/>
      <c r="DJ20" s="186"/>
      <c r="DK20" s="186"/>
      <c r="DL20" s="186"/>
      <c r="DM20" s="186"/>
      <c r="DN20" s="186"/>
      <c r="DO20" s="186"/>
      <c r="DP20" s="186"/>
      <c r="DQ20" s="186"/>
      <c r="DR20" s="186"/>
      <c r="DS20" s="186"/>
      <c r="DT20" s="186"/>
      <c r="DU20" s="186"/>
      <c r="DV20" s="186"/>
      <c r="DW20" s="186"/>
      <c r="DX20" s="186"/>
      <c r="DY20" s="186"/>
      <c r="DZ20" s="186"/>
      <c r="EA20" s="186"/>
      <c r="EB20" s="186"/>
      <c r="EC20" s="186"/>
      <c r="ED20" s="186"/>
      <c r="EE20" s="186"/>
      <c r="EF20" s="186"/>
      <c r="EG20" s="186"/>
      <c r="EH20" s="186"/>
      <c r="EI20" s="186"/>
      <c r="EJ20" s="186"/>
      <c r="EK20" s="186"/>
      <c r="EL20" s="186"/>
      <c r="EM20" s="186"/>
      <c r="EN20" s="186"/>
      <c r="EO20" s="186"/>
      <c r="EP20" s="186"/>
      <c r="EQ20" s="186"/>
      <c r="ER20" s="186"/>
      <c r="ES20" s="186"/>
      <c r="ET20" s="186"/>
      <c r="EU20" s="186"/>
      <c r="EV20" s="186"/>
      <c r="EW20" s="186"/>
      <c r="EX20" s="186"/>
      <c r="EY20" s="186"/>
      <c r="EZ20" s="186"/>
      <c r="FA20" s="186"/>
      <c r="FB20" s="186"/>
      <c r="FC20" s="186"/>
      <c r="FD20" s="186"/>
      <c r="FE20" s="186"/>
      <c r="FF20" s="186"/>
      <c r="FG20" s="186"/>
      <c r="FH20" s="186"/>
      <c r="FI20" s="186"/>
      <c r="FJ20" s="186"/>
      <c r="FK20" s="186"/>
      <c r="FL20" s="186"/>
      <c r="FM20" s="186"/>
      <c r="FN20" s="186"/>
      <c r="FO20" s="186"/>
      <c r="FP20" s="186"/>
      <c r="FQ20" s="186"/>
      <c r="FR20" s="186"/>
      <c r="FS20" s="186"/>
      <c r="FT20" s="186"/>
      <c r="FU20" s="186"/>
      <c r="FV20" s="186"/>
      <c r="FW20" s="186"/>
      <c r="FX20" s="186"/>
      <c r="FY20" s="186"/>
      <c r="FZ20" s="186"/>
      <c r="GA20" s="186"/>
      <c r="GB20" s="186"/>
      <c r="GC20" s="186"/>
      <c r="GD20" s="186"/>
      <c r="GE20" s="186"/>
      <c r="GF20" s="186"/>
      <c r="GG20" s="186"/>
      <c r="GH20" s="186"/>
      <c r="GI20" s="186"/>
      <c r="GJ20" s="186"/>
      <c r="GK20" s="186"/>
      <c r="GL20" s="186"/>
      <c r="GM20" s="186"/>
      <c r="GN20" s="186"/>
      <c r="GO20" s="186"/>
      <c r="GP20" s="186"/>
      <c r="GQ20" s="186"/>
      <c r="GR20" s="186"/>
      <c r="GS20" s="186"/>
      <c r="GT20" s="186"/>
      <c r="GU20" s="186"/>
      <c r="GV20" s="186"/>
      <c r="GW20" s="186"/>
      <c r="GX20" s="186"/>
      <c r="GY20" s="186"/>
      <c r="GZ20" s="186"/>
      <c r="HA20" s="186"/>
      <c r="HB20" s="186"/>
      <c r="HC20" s="186"/>
      <c r="HD20" s="186"/>
      <c r="HE20" s="186"/>
      <c r="HF20" s="186"/>
      <c r="HG20" s="186"/>
      <c r="HH20" s="186"/>
      <c r="HI20" s="186"/>
      <c r="HJ20" s="186"/>
      <c r="HK20" s="186"/>
      <c r="HL20" s="186"/>
      <c r="HM20" s="186"/>
      <c r="HN20" s="186"/>
      <c r="HO20" s="186"/>
      <c r="HP20" s="186"/>
      <c r="HQ20" s="186"/>
      <c r="HR20" s="186"/>
      <c r="HS20" s="186"/>
      <c r="HT20" s="186"/>
      <c r="HU20" s="186"/>
      <c r="HV20" s="186"/>
      <c r="HW20" s="186"/>
      <c r="HX20" s="186"/>
      <c r="HY20" s="186"/>
      <c r="HZ20" s="186"/>
      <c r="IA20" s="186"/>
      <c r="IB20" s="186"/>
      <c r="IC20" s="186"/>
      <c r="ID20" s="186"/>
      <c r="IE20" s="186"/>
      <c r="IF20" s="186"/>
      <c r="IG20" s="186"/>
      <c r="IH20" s="186"/>
      <c r="II20" s="186"/>
      <c r="IJ20" s="186"/>
      <c r="IK20" s="186"/>
      <c r="IL20" s="186"/>
      <c r="IM20" s="186"/>
      <c r="IN20" s="186"/>
      <c r="IO20" s="186"/>
      <c r="IP20" s="186"/>
      <c r="IQ20" s="186"/>
      <c r="IR20" s="186"/>
      <c r="IS20" s="186"/>
      <c r="IT20" s="186"/>
      <c r="IU20" s="186"/>
    </row>
    <row r="21" spans="1:255" s="43" customFormat="1" ht="48" x14ac:dyDescent="0.2">
      <c r="A21" s="194">
        <v>5</v>
      </c>
      <c r="B21" s="195" t="s">
        <v>568</v>
      </c>
      <c r="C21" s="195" t="s">
        <v>571</v>
      </c>
      <c r="D21" s="195" t="s">
        <v>33</v>
      </c>
      <c r="E21" s="196">
        <f t="shared" si="0"/>
        <v>3.4849999999999999E-2</v>
      </c>
      <c r="F21" s="309" t="s">
        <v>909</v>
      </c>
      <c r="G21" s="310"/>
      <c r="H21" s="199" t="s">
        <v>570</v>
      </c>
      <c r="I21" s="199" t="s">
        <v>471</v>
      </c>
      <c r="N21" s="186"/>
      <c r="O21" s="186">
        <f t="shared" si="1"/>
        <v>3.4849999999999999E-2</v>
      </c>
      <c r="P21" s="186">
        <f>[1]Source!I55</f>
        <v>3.4849999999999999E-2</v>
      </c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86"/>
      <c r="GP21" s="186"/>
      <c r="GQ21" s="186"/>
      <c r="GR21" s="186"/>
      <c r="GS21" s="186"/>
      <c r="GT21" s="186"/>
      <c r="GU21" s="186"/>
      <c r="GV21" s="186"/>
      <c r="GW21" s="186"/>
      <c r="GX21" s="186"/>
      <c r="GY21" s="186"/>
      <c r="GZ21" s="186"/>
      <c r="HA21" s="186"/>
      <c r="HB21" s="186"/>
      <c r="HC21" s="186"/>
      <c r="HD21" s="186"/>
      <c r="HE21" s="186"/>
      <c r="HF21" s="186"/>
      <c r="HG21" s="186"/>
      <c r="HH21" s="186"/>
      <c r="HI21" s="186"/>
      <c r="HJ21" s="186"/>
      <c r="HK21" s="186"/>
      <c r="HL21" s="186"/>
      <c r="HM21" s="186"/>
      <c r="HN21" s="186"/>
      <c r="HO21" s="186"/>
      <c r="HP21" s="186"/>
      <c r="HQ21" s="186"/>
      <c r="HR21" s="186"/>
      <c r="HS21" s="186"/>
      <c r="HT21" s="186"/>
      <c r="HU21" s="186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  <c r="IN21" s="186"/>
      <c r="IO21" s="186"/>
      <c r="IP21" s="186"/>
      <c r="IQ21" s="186"/>
      <c r="IR21" s="186"/>
      <c r="IS21" s="186"/>
      <c r="IT21" s="186"/>
      <c r="IU21" s="186"/>
    </row>
    <row r="22" spans="1:255" s="43" customFormat="1" ht="48" x14ac:dyDescent="0.2">
      <c r="A22" s="194">
        <v>6</v>
      </c>
      <c r="B22" s="195" t="s">
        <v>568</v>
      </c>
      <c r="C22" s="195" t="s">
        <v>572</v>
      </c>
      <c r="D22" s="195" t="s">
        <v>33</v>
      </c>
      <c r="E22" s="196">
        <f t="shared" si="0"/>
        <v>7.2999999999999982E-2</v>
      </c>
      <c r="F22" s="309" t="s">
        <v>909</v>
      </c>
      <c r="G22" s="310"/>
      <c r="H22" s="199" t="s">
        <v>570</v>
      </c>
      <c r="I22" s="199" t="s">
        <v>471</v>
      </c>
      <c r="N22" s="186"/>
      <c r="O22" s="186">
        <f t="shared" si="1"/>
        <v>7.2999999999999982E-2</v>
      </c>
      <c r="P22" s="186">
        <f>[1]Source!I43</f>
        <v>7.2999999999999982E-2</v>
      </c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</row>
    <row r="23" spans="1:255" s="43" customFormat="1" ht="48" x14ac:dyDescent="0.2">
      <c r="A23" s="194">
        <v>7</v>
      </c>
      <c r="B23" s="195" t="s">
        <v>573</v>
      </c>
      <c r="C23" s="195" t="s">
        <v>574</v>
      </c>
      <c r="D23" s="195" t="s">
        <v>33</v>
      </c>
      <c r="E23" s="196">
        <f t="shared" si="0"/>
        <v>1.9793600000000002</v>
      </c>
      <c r="F23" s="309" t="s">
        <v>909</v>
      </c>
      <c r="G23" s="310"/>
      <c r="H23" s="199" t="s">
        <v>575</v>
      </c>
      <c r="I23" s="199" t="s">
        <v>471</v>
      </c>
      <c r="N23" s="186"/>
      <c r="O23" s="186">
        <f t="shared" si="1"/>
        <v>1.9793600000000002</v>
      </c>
      <c r="P23" s="186">
        <f>[1]Source!I47</f>
        <v>1.9793600000000002</v>
      </c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  <c r="CP23" s="186"/>
      <c r="CQ23" s="186"/>
      <c r="CR23" s="186"/>
      <c r="CS23" s="186"/>
      <c r="CT23" s="186"/>
      <c r="CU23" s="186"/>
      <c r="CV23" s="186"/>
      <c r="CW23" s="186"/>
      <c r="CX23" s="186"/>
      <c r="CY23" s="186"/>
      <c r="CZ23" s="186"/>
      <c r="DA23" s="186"/>
      <c r="DB23" s="186"/>
      <c r="DC23" s="186"/>
      <c r="DD23" s="186"/>
      <c r="DE23" s="186"/>
      <c r="DF23" s="186"/>
      <c r="DG23" s="186"/>
      <c r="DH23" s="186"/>
      <c r="DI23" s="186"/>
      <c r="DJ23" s="186"/>
      <c r="DK23" s="186"/>
      <c r="DL23" s="186"/>
      <c r="DM23" s="186"/>
      <c r="DN23" s="186"/>
      <c r="DO23" s="186"/>
      <c r="DP23" s="186"/>
      <c r="DQ23" s="186"/>
      <c r="DR23" s="186"/>
      <c r="DS23" s="186"/>
      <c r="DT23" s="186"/>
      <c r="DU23" s="186"/>
      <c r="DV23" s="186"/>
      <c r="DW23" s="186"/>
      <c r="DX23" s="186"/>
      <c r="DY23" s="186"/>
      <c r="DZ23" s="186"/>
      <c r="EA23" s="186"/>
      <c r="EB23" s="186"/>
      <c r="EC23" s="186"/>
      <c r="ED23" s="186"/>
      <c r="EE23" s="186"/>
      <c r="EF23" s="186"/>
      <c r="EG23" s="186"/>
      <c r="EH23" s="186"/>
      <c r="EI23" s="186"/>
      <c r="EJ23" s="186"/>
      <c r="EK23" s="186"/>
      <c r="EL23" s="186"/>
      <c r="EM23" s="186"/>
      <c r="EN23" s="186"/>
      <c r="EO23" s="186"/>
      <c r="EP23" s="186"/>
      <c r="EQ23" s="186"/>
      <c r="ER23" s="186"/>
      <c r="ES23" s="186"/>
      <c r="ET23" s="186"/>
      <c r="EU23" s="186"/>
      <c r="EV23" s="186"/>
      <c r="EW23" s="186"/>
      <c r="EX23" s="186"/>
      <c r="EY23" s="186"/>
      <c r="EZ23" s="186"/>
      <c r="FA23" s="186"/>
      <c r="FB23" s="186"/>
      <c r="FC23" s="186"/>
      <c r="FD23" s="186"/>
      <c r="FE23" s="186"/>
      <c r="FF23" s="186"/>
      <c r="FG23" s="186"/>
      <c r="FH23" s="186"/>
      <c r="FI23" s="186"/>
      <c r="FJ23" s="186"/>
      <c r="FK23" s="186"/>
      <c r="FL23" s="186"/>
      <c r="FM23" s="186"/>
      <c r="FN23" s="186"/>
      <c r="FO23" s="186"/>
      <c r="FP23" s="186"/>
      <c r="FQ23" s="186"/>
      <c r="FR23" s="186"/>
      <c r="FS23" s="186"/>
      <c r="FT23" s="186"/>
      <c r="FU23" s="186"/>
      <c r="FV23" s="186"/>
      <c r="FW23" s="186"/>
      <c r="FX23" s="186"/>
      <c r="FY23" s="186"/>
      <c r="FZ23" s="186"/>
      <c r="GA23" s="186"/>
      <c r="GB23" s="186"/>
      <c r="GC23" s="186"/>
      <c r="GD23" s="186"/>
      <c r="GE23" s="186"/>
      <c r="GF23" s="186"/>
      <c r="GG23" s="186"/>
      <c r="GH23" s="186"/>
      <c r="GI23" s="186"/>
      <c r="GJ23" s="186"/>
      <c r="GK23" s="186"/>
      <c r="GL23" s="186"/>
      <c r="GM23" s="186"/>
      <c r="GN23" s="186"/>
      <c r="GO23" s="186"/>
      <c r="GP23" s="186"/>
      <c r="GQ23" s="186"/>
      <c r="GR23" s="186"/>
      <c r="GS23" s="186"/>
      <c r="GT23" s="186"/>
      <c r="GU23" s="186"/>
      <c r="GV23" s="186"/>
      <c r="GW23" s="186"/>
      <c r="GX23" s="186"/>
      <c r="GY23" s="186"/>
      <c r="GZ23" s="186"/>
      <c r="HA23" s="186"/>
      <c r="HB23" s="186"/>
      <c r="HC23" s="186"/>
      <c r="HD23" s="186"/>
      <c r="HE23" s="186"/>
      <c r="HF23" s="186"/>
      <c r="HG23" s="186"/>
      <c r="HH23" s="186"/>
      <c r="HI23" s="186"/>
      <c r="HJ23" s="186"/>
      <c r="HK23" s="186"/>
      <c r="HL23" s="186"/>
      <c r="HM23" s="186"/>
      <c r="HN23" s="186"/>
      <c r="HO23" s="186"/>
      <c r="HP23" s="186"/>
      <c r="HQ23" s="186"/>
      <c r="HR23" s="186"/>
      <c r="HS23" s="186"/>
      <c r="HT23" s="186"/>
      <c r="HU23" s="186"/>
      <c r="HV23" s="186"/>
      <c r="HW23" s="186"/>
      <c r="HX23" s="186"/>
      <c r="HY23" s="186"/>
      <c r="HZ23" s="186"/>
      <c r="IA23" s="186"/>
      <c r="IB23" s="186"/>
      <c r="IC23" s="186"/>
      <c r="ID23" s="186"/>
      <c r="IE23" s="186"/>
      <c r="IF23" s="186"/>
      <c r="IG23" s="186"/>
      <c r="IH23" s="186"/>
      <c r="II23" s="186"/>
      <c r="IJ23" s="186"/>
      <c r="IK23" s="186"/>
      <c r="IL23" s="186"/>
      <c r="IM23" s="186"/>
      <c r="IN23" s="186"/>
      <c r="IO23" s="186"/>
      <c r="IP23" s="186"/>
      <c r="IQ23" s="186"/>
      <c r="IR23" s="186"/>
      <c r="IS23" s="186"/>
      <c r="IT23" s="186"/>
      <c r="IU23" s="186"/>
    </row>
    <row r="24" spans="1:255" s="43" customFormat="1" ht="48" x14ac:dyDescent="0.2">
      <c r="A24" s="194">
        <v>8</v>
      </c>
      <c r="B24" s="195" t="s">
        <v>573</v>
      </c>
      <c r="C24" s="195" t="s">
        <v>576</v>
      </c>
      <c r="D24" s="195" t="s">
        <v>33</v>
      </c>
      <c r="E24" s="196">
        <f t="shared" si="0"/>
        <v>0.34821000000000002</v>
      </c>
      <c r="F24" s="309" t="s">
        <v>909</v>
      </c>
      <c r="G24" s="310"/>
      <c r="H24" s="199" t="s">
        <v>575</v>
      </c>
      <c r="I24" s="199" t="s">
        <v>471</v>
      </c>
      <c r="N24" s="186"/>
      <c r="O24" s="186">
        <f t="shared" si="1"/>
        <v>0.34821000000000002</v>
      </c>
      <c r="P24" s="186">
        <f>[1]Source!I45</f>
        <v>0.34821000000000002</v>
      </c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  <c r="CP24" s="186"/>
      <c r="CQ24" s="186"/>
      <c r="CR24" s="186"/>
      <c r="CS24" s="186"/>
      <c r="CT24" s="186"/>
      <c r="CU24" s="186"/>
      <c r="CV24" s="186"/>
      <c r="CW24" s="186"/>
      <c r="CX24" s="186"/>
      <c r="CY24" s="186"/>
      <c r="CZ24" s="186"/>
      <c r="DA24" s="186"/>
      <c r="DB24" s="186"/>
      <c r="DC24" s="186"/>
      <c r="DD24" s="186"/>
      <c r="DE24" s="186"/>
      <c r="DF24" s="186"/>
      <c r="DG24" s="186"/>
      <c r="DH24" s="186"/>
      <c r="DI24" s="186"/>
      <c r="DJ24" s="186"/>
      <c r="DK24" s="186"/>
      <c r="DL24" s="186"/>
      <c r="DM24" s="186"/>
      <c r="DN24" s="186"/>
      <c r="DO24" s="186"/>
      <c r="DP24" s="186"/>
      <c r="DQ24" s="186"/>
      <c r="DR24" s="186"/>
      <c r="DS24" s="186"/>
      <c r="DT24" s="186"/>
      <c r="DU24" s="186"/>
      <c r="DV24" s="186"/>
      <c r="DW24" s="186"/>
      <c r="DX24" s="186"/>
      <c r="DY24" s="186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6"/>
      <c r="EK24" s="186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6"/>
      <c r="EW24" s="186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6"/>
      <c r="FI24" s="186"/>
      <c r="FJ24" s="186"/>
      <c r="FK24" s="186"/>
      <c r="FL24" s="186"/>
      <c r="FM24" s="186"/>
      <c r="FN24" s="186"/>
      <c r="FO24" s="186"/>
      <c r="FP24" s="186"/>
      <c r="FQ24" s="186"/>
      <c r="FR24" s="186"/>
      <c r="FS24" s="186"/>
      <c r="FT24" s="186"/>
      <c r="FU24" s="186"/>
      <c r="FV24" s="186"/>
      <c r="FW24" s="186"/>
      <c r="FX24" s="186"/>
      <c r="FY24" s="186"/>
      <c r="FZ24" s="186"/>
      <c r="GA24" s="186"/>
      <c r="GB24" s="186"/>
      <c r="GC24" s="186"/>
      <c r="GD24" s="186"/>
      <c r="GE24" s="186"/>
      <c r="GF24" s="186"/>
      <c r="GG24" s="186"/>
      <c r="GH24" s="186"/>
      <c r="GI24" s="186"/>
      <c r="GJ24" s="186"/>
      <c r="GK24" s="186"/>
      <c r="GL24" s="186"/>
      <c r="GM24" s="186"/>
      <c r="GN24" s="186"/>
      <c r="GO24" s="186"/>
      <c r="GP24" s="186"/>
      <c r="GQ24" s="186"/>
      <c r="GR24" s="186"/>
      <c r="GS24" s="186"/>
      <c r="GT24" s="186"/>
      <c r="GU24" s="186"/>
      <c r="GV24" s="186"/>
      <c r="GW24" s="186"/>
      <c r="GX24" s="186"/>
      <c r="GY24" s="186"/>
      <c r="GZ24" s="186"/>
      <c r="HA24" s="186"/>
      <c r="HB24" s="186"/>
      <c r="HC24" s="186"/>
      <c r="HD24" s="186"/>
      <c r="HE24" s="186"/>
      <c r="HF24" s="186"/>
      <c r="HG24" s="186"/>
      <c r="HH24" s="186"/>
      <c r="HI24" s="186"/>
      <c r="HJ24" s="186"/>
      <c r="HK24" s="186"/>
      <c r="HL24" s="186"/>
      <c r="HM24" s="186"/>
      <c r="HN24" s="186"/>
      <c r="HO24" s="186"/>
      <c r="HP24" s="186"/>
      <c r="HQ24" s="186"/>
      <c r="HR24" s="186"/>
      <c r="HS24" s="186"/>
      <c r="HT24" s="186"/>
      <c r="HU24" s="186"/>
      <c r="HV24" s="186"/>
      <c r="HW24" s="186"/>
      <c r="HX24" s="186"/>
      <c r="HY24" s="186"/>
      <c r="HZ24" s="186"/>
      <c r="IA24" s="186"/>
      <c r="IB24" s="186"/>
      <c r="IC24" s="186"/>
      <c r="ID24" s="186"/>
      <c r="IE24" s="186"/>
      <c r="IF24" s="186"/>
      <c r="IG24" s="186"/>
      <c r="IH24" s="186"/>
      <c r="II24" s="186"/>
      <c r="IJ24" s="186"/>
      <c r="IK24" s="186"/>
      <c r="IL24" s="186"/>
      <c r="IM24" s="186"/>
      <c r="IN24" s="186"/>
      <c r="IO24" s="186"/>
      <c r="IP24" s="186"/>
      <c r="IQ24" s="186"/>
      <c r="IR24" s="186"/>
      <c r="IS24" s="186"/>
      <c r="IT24" s="186"/>
      <c r="IU24" s="186"/>
    </row>
    <row r="25" spans="1:255" s="43" customFormat="1" ht="48" x14ac:dyDescent="0.2">
      <c r="A25" s="194">
        <v>9</v>
      </c>
      <c r="B25" s="195" t="s">
        <v>577</v>
      </c>
      <c r="C25" s="195" t="s">
        <v>578</v>
      </c>
      <c r="D25" s="195" t="s">
        <v>33</v>
      </c>
      <c r="E25" s="196">
        <f t="shared" si="0"/>
        <v>2.9577</v>
      </c>
      <c r="F25" s="309" t="s">
        <v>909</v>
      </c>
      <c r="G25" s="310"/>
      <c r="H25" s="199" t="s">
        <v>579</v>
      </c>
      <c r="I25" s="199" t="s">
        <v>471</v>
      </c>
      <c r="N25" s="186"/>
      <c r="O25" s="186">
        <f t="shared" si="1"/>
        <v>2.9577</v>
      </c>
      <c r="P25" s="186">
        <f>[1]Source!I33</f>
        <v>2.9577</v>
      </c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186"/>
      <c r="DG25" s="186"/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6"/>
      <c r="DU25" s="186"/>
      <c r="DV25" s="186"/>
      <c r="DW25" s="186"/>
      <c r="DX25" s="186"/>
      <c r="DY25" s="186"/>
      <c r="DZ25" s="186"/>
      <c r="EA25" s="186"/>
      <c r="EB25" s="186"/>
      <c r="EC25" s="186"/>
      <c r="ED25" s="186"/>
      <c r="EE25" s="186"/>
      <c r="EF25" s="186"/>
      <c r="EG25" s="186"/>
      <c r="EH25" s="186"/>
      <c r="EI25" s="186"/>
      <c r="EJ25" s="186"/>
      <c r="EK25" s="186"/>
      <c r="EL25" s="186"/>
      <c r="EM25" s="186"/>
      <c r="EN25" s="186"/>
      <c r="EO25" s="186"/>
      <c r="EP25" s="186"/>
      <c r="EQ25" s="186"/>
      <c r="ER25" s="186"/>
      <c r="ES25" s="186"/>
      <c r="ET25" s="186"/>
      <c r="EU25" s="186"/>
      <c r="EV25" s="186"/>
      <c r="EW25" s="186"/>
      <c r="EX25" s="186"/>
      <c r="EY25" s="186"/>
      <c r="EZ25" s="186"/>
      <c r="FA25" s="186"/>
      <c r="FB25" s="186"/>
      <c r="FC25" s="186"/>
      <c r="FD25" s="186"/>
      <c r="FE25" s="186"/>
      <c r="FF25" s="186"/>
      <c r="FG25" s="186"/>
      <c r="FH25" s="186"/>
      <c r="FI25" s="186"/>
      <c r="FJ25" s="186"/>
      <c r="FK25" s="186"/>
      <c r="FL25" s="186"/>
      <c r="FM25" s="186"/>
      <c r="FN25" s="186"/>
      <c r="FO25" s="186"/>
      <c r="FP25" s="186"/>
      <c r="FQ25" s="186"/>
      <c r="FR25" s="186"/>
      <c r="FS25" s="186"/>
      <c r="FT25" s="186"/>
      <c r="FU25" s="186"/>
      <c r="FV25" s="186"/>
      <c r="FW25" s="186"/>
      <c r="FX25" s="186"/>
      <c r="FY25" s="186"/>
      <c r="FZ25" s="186"/>
      <c r="GA25" s="186"/>
      <c r="GB25" s="186"/>
      <c r="GC25" s="186"/>
      <c r="GD25" s="186"/>
      <c r="GE25" s="186"/>
      <c r="GF25" s="186"/>
      <c r="GG25" s="186"/>
      <c r="GH25" s="186"/>
      <c r="GI25" s="186"/>
      <c r="GJ25" s="186"/>
      <c r="GK25" s="186"/>
      <c r="GL25" s="186"/>
      <c r="GM25" s="186"/>
      <c r="GN25" s="186"/>
      <c r="GO25" s="186"/>
      <c r="GP25" s="186"/>
      <c r="GQ25" s="186"/>
      <c r="GR25" s="186"/>
      <c r="GS25" s="186"/>
      <c r="GT25" s="186"/>
      <c r="GU25" s="186"/>
      <c r="GV25" s="186"/>
      <c r="GW25" s="186"/>
      <c r="GX25" s="186"/>
      <c r="GY25" s="186"/>
      <c r="GZ25" s="186"/>
      <c r="HA25" s="186"/>
      <c r="HB25" s="186"/>
      <c r="HC25" s="186"/>
      <c r="HD25" s="186"/>
      <c r="HE25" s="186"/>
      <c r="HF25" s="186"/>
      <c r="HG25" s="186"/>
      <c r="HH25" s="186"/>
      <c r="HI25" s="186"/>
      <c r="HJ25" s="186"/>
      <c r="HK25" s="186"/>
      <c r="HL25" s="186"/>
      <c r="HM25" s="186"/>
      <c r="HN25" s="186"/>
      <c r="HO25" s="186"/>
      <c r="HP25" s="186"/>
      <c r="HQ25" s="186"/>
      <c r="HR25" s="186"/>
      <c r="HS25" s="186"/>
      <c r="HT25" s="186"/>
      <c r="HU25" s="186"/>
      <c r="HV25" s="186"/>
      <c r="HW25" s="186"/>
      <c r="HX25" s="186"/>
      <c r="HY25" s="186"/>
      <c r="HZ25" s="186"/>
      <c r="IA25" s="186"/>
      <c r="IB25" s="186"/>
      <c r="IC25" s="186"/>
      <c r="ID25" s="186"/>
      <c r="IE25" s="186"/>
      <c r="IF25" s="186"/>
      <c r="IG25" s="186"/>
      <c r="IH25" s="186"/>
      <c r="II25" s="186"/>
      <c r="IJ25" s="186"/>
      <c r="IK25" s="186"/>
      <c r="IL25" s="186"/>
      <c r="IM25" s="186"/>
      <c r="IN25" s="186"/>
      <c r="IO25" s="186"/>
      <c r="IP25" s="186"/>
      <c r="IQ25" s="186"/>
      <c r="IR25" s="186"/>
      <c r="IS25" s="186"/>
      <c r="IT25" s="186"/>
      <c r="IU25" s="186"/>
    </row>
    <row r="26" spans="1:255" s="43" customFormat="1" ht="36" x14ac:dyDescent="0.2">
      <c r="A26" s="194">
        <v>10</v>
      </c>
      <c r="B26" s="195" t="s">
        <v>580</v>
      </c>
      <c r="C26" s="195" t="s">
        <v>581</v>
      </c>
      <c r="D26" s="195" t="s">
        <v>33</v>
      </c>
      <c r="E26" s="196">
        <f t="shared" si="0"/>
        <v>0.94091599999999997</v>
      </c>
      <c r="F26" s="309" t="s">
        <v>909</v>
      </c>
      <c r="G26" s="310"/>
      <c r="H26" s="199" t="s">
        <v>582</v>
      </c>
      <c r="I26" s="199" t="s">
        <v>471</v>
      </c>
      <c r="N26" s="186"/>
      <c r="O26" s="186">
        <f t="shared" si="1"/>
        <v>0.94091599999999997</v>
      </c>
      <c r="P26" s="186">
        <f>[1]Source!I35</f>
        <v>0.94091599999999997</v>
      </c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  <c r="CS26" s="186"/>
      <c r="CT26" s="186"/>
      <c r="CU26" s="186"/>
      <c r="CV26" s="186"/>
      <c r="CW26" s="186"/>
      <c r="CX26" s="186"/>
      <c r="CY26" s="186"/>
      <c r="CZ26" s="186"/>
      <c r="DA26" s="186"/>
      <c r="DB26" s="186"/>
      <c r="DC26" s="186"/>
      <c r="DD26" s="186"/>
      <c r="DE26" s="186"/>
      <c r="DF26" s="186"/>
      <c r="DG26" s="186"/>
      <c r="DH26" s="186"/>
      <c r="DI26" s="186"/>
      <c r="DJ26" s="186"/>
      <c r="DK26" s="186"/>
      <c r="DL26" s="186"/>
      <c r="DM26" s="186"/>
      <c r="DN26" s="186"/>
      <c r="DO26" s="186"/>
      <c r="DP26" s="186"/>
      <c r="DQ26" s="186"/>
      <c r="DR26" s="186"/>
      <c r="DS26" s="186"/>
      <c r="DT26" s="186"/>
      <c r="DU26" s="186"/>
      <c r="DV26" s="186"/>
      <c r="DW26" s="186"/>
      <c r="DX26" s="186"/>
      <c r="DY26" s="186"/>
      <c r="DZ26" s="186"/>
      <c r="EA26" s="186"/>
      <c r="EB26" s="186"/>
      <c r="EC26" s="186"/>
      <c r="ED26" s="186"/>
      <c r="EE26" s="186"/>
      <c r="EF26" s="186"/>
      <c r="EG26" s="186"/>
      <c r="EH26" s="186"/>
      <c r="EI26" s="186"/>
      <c r="EJ26" s="186"/>
      <c r="EK26" s="186"/>
      <c r="EL26" s="186"/>
      <c r="EM26" s="186"/>
      <c r="EN26" s="186"/>
      <c r="EO26" s="186"/>
      <c r="EP26" s="186"/>
      <c r="EQ26" s="186"/>
      <c r="ER26" s="186"/>
      <c r="ES26" s="186"/>
      <c r="ET26" s="186"/>
      <c r="EU26" s="186"/>
      <c r="EV26" s="186"/>
      <c r="EW26" s="186"/>
      <c r="EX26" s="186"/>
      <c r="EY26" s="186"/>
      <c r="EZ26" s="186"/>
      <c r="FA26" s="186"/>
      <c r="FB26" s="186"/>
      <c r="FC26" s="186"/>
      <c r="FD26" s="186"/>
      <c r="FE26" s="186"/>
      <c r="FF26" s="186"/>
      <c r="FG26" s="186"/>
      <c r="FH26" s="186"/>
      <c r="FI26" s="186"/>
      <c r="FJ26" s="186"/>
      <c r="FK26" s="186"/>
      <c r="FL26" s="186"/>
      <c r="FM26" s="186"/>
      <c r="FN26" s="186"/>
      <c r="FO26" s="186"/>
      <c r="FP26" s="186"/>
      <c r="FQ26" s="186"/>
      <c r="FR26" s="186"/>
      <c r="FS26" s="186"/>
      <c r="FT26" s="186"/>
      <c r="FU26" s="186"/>
      <c r="FV26" s="186"/>
      <c r="FW26" s="186"/>
      <c r="FX26" s="186"/>
      <c r="FY26" s="186"/>
      <c r="FZ26" s="186"/>
      <c r="GA26" s="186"/>
      <c r="GB26" s="186"/>
      <c r="GC26" s="186"/>
      <c r="GD26" s="186"/>
      <c r="GE26" s="186"/>
      <c r="GF26" s="186"/>
      <c r="GG26" s="186"/>
      <c r="GH26" s="186"/>
      <c r="GI26" s="186"/>
      <c r="GJ26" s="186"/>
      <c r="GK26" s="186"/>
      <c r="GL26" s="186"/>
      <c r="GM26" s="186"/>
      <c r="GN26" s="186"/>
      <c r="GO26" s="186"/>
      <c r="GP26" s="186"/>
      <c r="GQ26" s="186"/>
      <c r="GR26" s="186"/>
      <c r="GS26" s="186"/>
      <c r="GT26" s="186"/>
      <c r="GU26" s="186"/>
      <c r="GV26" s="186"/>
      <c r="GW26" s="186"/>
      <c r="GX26" s="186"/>
      <c r="GY26" s="186"/>
      <c r="GZ26" s="186"/>
      <c r="HA26" s="186"/>
      <c r="HB26" s="186"/>
      <c r="HC26" s="186"/>
      <c r="HD26" s="186"/>
      <c r="HE26" s="186"/>
      <c r="HF26" s="186"/>
      <c r="HG26" s="186"/>
      <c r="HH26" s="186"/>
      <c r="HI26" s="186"/>
      <c r="HJ26" s="186"/>
      <c r="HK26" s="186"/>
      <c r="HL26" s="186"/>
      <c r="HM26" s="186"/>
      <c r="HN26" s="186"/>
      <c r="HO26" s="186"/>
      <c r="HP26" s="186"/>
      <c r="HQ26" s="186"/>
      <c r="HR26" s="186"/>
      <c r="HS26" s="186"/>
      <c r="HT26" s="186"/>
      <c r="HU26" s="186"/>
      <c r="HV26" s="186"/>
      <c r="HW26" s="186"/>
      <c r="HX26" s="186"/>
      <c r="HY26" s="186"/>
      <c r="HZ26" s="186"/>
      <c r="IA26" s="186"/>
      <c r="IB26" s="186"/>
      <c r="IC26" s="186"/>
      <c r="ID26" s="186"/>
      <c r="IE26" s="186"/>
      <c r="IF26" s="186"/>
      <c r="IG26" s="186"/>
      <c r="IH26" s="186"/>
      <c r="II26" s="186"/>
      <c r="IJ26" s="186"/>
      <c r="IK26" s="186"/>
      <c r="IL26" s="186"/>
      <c r="IM26" s="186"/>
      <c r="IN26" s="186"/>
      <c r="IO26" s="186"/>
      <c r="IP26" s="186"/>
      <c r="IQ26" s="186"/>
      <c r="IR26" s="186"/>
      <c r="IS26" s="186"/>
      <c r="IT26" s="186"/>
      <c r="IU26" s="186"/>
    </row>
    <row r="27" spans="1:255" s="43" customFormat="1" ht="24" x14ac:dyDescent="0.2">
      <c r="A27" s="194">
        <v>11</v>
      </c>
      <c r="B27" s="195" t="s">
        <v>583</v>
      </c>
      <c r="C27" s="195" t="s">
        <v>584</v>
      </c>
      <c r="D27" s="195" t="s">
        <v>69</v>
      </c>
      <c r="E27" s="196">
        <f t="shared" si="0"/>
        <v>3</v>
      </c>
      <c r="F27" s="309" t="s">
        <v>909</v>
      </c>
      <c r="G27" s="310"/>
      <c r="H27" s="199" t="s">
        <v>585</v>
      </c>
      <c r="I27" s="199" t="s">
        <v>471</v>
      </c>
      <c r="N27" s="186"/>
      <c r="O27" s="186">
        <f t="shared" si="1"/>
        <v>3</v>
      </c>
      <c r="P27" s="186">
        <f>[1]Source!I57</f>
        <v>3</v>
      </c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6"/>
      <c r="CT27" s="186"/>
      <c r="CU27" s="186"/>
      <c r="CV27" s="186"/>
      <c r="CW27" s="186"/>
      <c r="CX27" s="186"/>
      <c r="CY27" s="186"/>
      <c r="CZ27" s="186"/>
      <c r="DA27" s="186"/>
      <c r="DB27" s="186"/>
      <c r="DC27" s="186"/>
      <c r="DD27" s="186"/>
      <c r="DE27" s="186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  <c r="DR27" s="186"/>
      <c r="DS27" s="186"/>
      <c r="DT27" s="186"/>
      <c r="DU27" s="186"/>
      <c r="DV27" s="186"/>
      <c r="DW27" s="186"/>
      <c r="DX27" s="186"/>
      <c r="DY27" s="186"/>
      <c r="DZ27" s="186"/>
      <c r="EA27" s="186"/>
      <c r="EB27" s="186"/>
      <c r="EC27" s="186"/>
      <c r="ED27" s="186"/>
      <c r="EE27" s="186"/>
      <c r="EF27" s="186"/>
      <c r="EG27" s="186"/>
      <c r="EH27" s="186"/>
      <c r="EI27" s="186"/>
      <c r="EJ27" s="186"/>
      <c r="EK27" s="186"/>
      <c r="EL27" s="186"/>
      <c r="EM27" s="186"/>
      <c r="EN27" s="186"/>
      <c r="EO27" s="186"/>
      <c r="EP27" s="186"/>
      <c r="EQ27" s="186"/>
      <c r="ER27" s="186"/>
      <c r="ES27" s="186"/>
      <c r="ET27" s="186"/>
      <c r="EU27" s="186"/>
      <c r="EV27" s="186"/>
      <c r="EW27" s="186"/>
      <c r="EX27" s="186"/>
      <c r="EY27" s="186"/>
      <c r="EZ27" s="186"/>
      <c r="FA27" s="186"/>
      <c r="FB27" s="186"/>
      <c r="FC27" s="186"/>
      <c r="FD27" s="186"/>
      <c r="FE27" s="186"/>
      <c r="FF27" s="186"/>
      <c r="FG27" s="186"/>
      <c r="FH27" s="186"/>
      <c r="FI27" s="186"/>
      <c r="FJ27" s="186"/>
      <c r="FK27" s="186"/>
      <c r="FL27" s="186"/>
      <c r="FM27" s="186"/>
      <c r="FN27" s="186"/>
      <c r="FO27" s="186"/>
      <c r="FP27" s="186"/>
      <c r="FQ27" s="186"/>
      <c r="FR27" s="186"/>
      <c r="FS27" s="186"/>
      <c r="FT27" s="186"/>
      <c r="FU27" s="186"/>
      <c r="FV27" s="186"/>
      <c r="FW27" s="186"/>
      <c r="FX27" s="186"/>
      <c r="FY27" s="186"/>
      <c r="FZ27" s="186"/>
      <c r="GA27" s="186"/>
      <c r="GB27" s="186"/>
      <c r="GC27" s="186"/>
      <c r="GD27" s="186"/>
      <c r="GE27" s="186"/>
      <c r="GF27" s="186"/>
      <c r="GG27" s="186"/>
      <c r="GH27" s="186"/>
      <c r="GI27" s="186"/>
      <c r="GJ27" s="186"/>
      <c r="GK27" s="186"/>
      <c r="GL27" s="186"/>
      <c r="GM27" s="186"/>
      <c r="GN27" s="186"/>
      <c r="GO27" s="186"/>
      <c r="GP27" s="186"/>
      <c r="GQ27" s="186"/>
      <c r="GR27" s="186"/>
      <c r="GS27" s="186"/>
      <c r="GT27" s="186"/>
      <c r="GU27" s="186"/>
      <c r="GV27" s="186"/>
      <c r="GW27" s="186"/>
      <c r="GX27" s="186"/>
      <c r="GY27" s="186"/>
      <c r="GZ27" s="186"/>
      <c r="HA27" s="186"/>
      <c r="HB27" s="186"/>
      <c r="HC27" s="186"/>
      <c r="HD27" s="186"/>
      <c r="HE27" s="186"/>
      <c r="HF27" s="186"/>
      <c r="HG27" s="186"/>
      <c r="HH27" s="186"/>
      <c r="HI27" s="186"/>
      <c r="HJ27" s="186"/>
      <c r="HK27" s="186"/>
      <c r="HL27" s="186"/>
      <c r="HM27" s="186"/>
      <c r="HN27" s="186"/>
      <c r="HO27" s="186"/>
      <c r="HP27" s="186"/>
      <c r="HQ27" s="186"/>
      <c r="HR27" s="186"/>
      <c r="HS27" s="186"/>
      <c r="HT27" s="186"/>
      <c r="HU27" s="186"/>
      <c r="HV27" s="186"/>
      <c r="HW27" s="186"/>
      <c r="HX27" s="186"/>
      <c r="HY27" s="186"/>
      <c r="HZ27" s="186"/>
      <c r="IA27" s="186"/>
      <c r="IB27" s="186"/>
      <c r="IC27" s="186"/>
      <c r="ID27" s="186"/>
      <c r="IE27" s="186"/>
      <c r="IF27" s="186"/>
      <c r="IG27" s="186"/>
      <c r="IH27" s="186"/>
      <c r="II27" s="186"/>
      <c r="IJ27" s="186"/>
      <c r="IK27" s="186"/>
      <c r="IL27" s="186"/>
      <c r="IM27" s="186"/>
      <c r="IN27" s="186"/>
      <c r="IO27" s="186"/>
      <c r="IP27" s="186"/>
      <c r="IQ27" s="186"/>
      <c r="IR27" s="186"/>
      <c r="IS27" s="186"/>
      <c r="IT27" s="186"/>
      <c r="IU27" s="186"/>
    </row>
    <row r="28" spans="1:255" s="43" customFormat="1" ht="36" x14ac:dyDescent="0.2">
      <c r="A28" s="194">
        <v>13</v>
      </c>
      <c r="B28" s="195" t="s">
        <v>586</v>
      </c>
      <c r="C28" s="195" t="s">
        <v>587</v>
      </c>
      <c r="D28" s="195" t="s">
        <v>33</v>
      </c>
      <c r="E28" s="196">
        <f t="shared" si="0"/>
        <v>3.1199999999999999E-2</v>
      </c>
      <c r="F28" s="309" t="s">
        <v>909</v>
      </c>
      <c r="G28" s="310"/>
      <c r="H28" s="199" t="s">
        <v>588</v>
      </c>
      <c r="I28" s="199" t="s">
        <v>471</v>
      </c>
      <c r="N28" s="186"/>
      <c r="O28" s="186">
        <f t="shared" si="1"/>
        <v>3.1199999999999999E-2</v>
      </c>
      <c r="P28" s="186">
        <f>[1]Source!I37</f>
        <v>3.1199999999999999E-2</v>
      </c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  <c r="CP28" s="186"/>
      <c r="CQ28" s="186"/>
      <c r="CR28" s="186"/>
      <c r="CS28" s="186"/>
      <c r="CT28" s="186"/>
      <c r="CU28" s="186"/>
      <c r="CV28" s="186"/>
      <c r="CW28" s="186"/>
      <c r="CX28" s="186"/>
      <c r="CY28" s="186"/>
      <c r="CZ28" s="186"/>
      <c r="DA28" s="186"/>
      <c r="DB28" s="186"/>
      <c r="DC28" s="186"/>
      <c r="DD28" s="186"/>
      <c r="DE28" s="186"/>
      <c r="DF28" s="186"/>
      <c r="DG28" s="186"/>
      <c r="DH28" s="186"/>
      <c r="DI28" s="186"/>
      <c r="DJ28" s="186"/>
      <c r="DK28" s="186"/>
      <c r="DL28" s="186"/>
      <c r="DM28" s="186"/>
      <c r="DN28" s="186"/>
      <c r="DO28" s="186"/>
      <c r="DP28" s="186"/>
      <c r="DQ28" s="186"/>
      <c r="DR28" s="186"/>
      <c r="DS28" s="186"/>
      <c r="DT28" s="186"/>
      <c r="DU28" s="186"/>
      <c r="DV28" s="186"/>
      <c r="DW28" s="186"/>
      <c r="DX28" s="186"/>
      <c r="DY28" s="186"/>
      <c r="DZ28" s="186"/>
      <c r="EA28" s="186"/>
      <c r="EB28" s="186"/>
      <c r="EC28" s="186"/>
      <c r="ED28" s="186"/>
      <c r="EE28" s="186"/>
      <c r="EF28" s="186"/>
      <c r="EG28" s="186"/>
      <c r="EH28" s="186"/>
      <c r="EI28" s="186"/>
      <c r="EJ28" s="186"/>
      <c r="EK28" s="186"/>
      <c r="EL28" s="186"/>
      <c r="EM28" s="186"/>
      <c r="EN28" s="186"/>
      <c r="EO28" s="186"/>
      <c r="EP28" s="186"/>
      <c r="EQ28" s="186"/>
      <c r="ER28" s="186"/>
      <c r="ES28" s="186"/>
      <c r="ET28" s="186"/>
      <c r="EU28" s="186"/>
      <c r="EV28" s="186"/>
      <c r="EW28" s="186"/>
      <c r="EX28" s="186"/>
      <c r="EY28" s="186"/>
      <c r="EZ28" s="186"/>
      <c r="FA28" s="186"/>
      <c r="FB28" s="186"/>
      <c r="FC28" s="186"/>
      <c r="FD28" s="186"/>
      <c r="FE28" s="186"/>
      <c r="FF28" s="186"/>
      <c r="FG28" s="186"/>
      <c r="FH28" s="186"/>
      <c r="FI28" s="186"/>
      <c r="FJ28" s="186"/>
      <c r="FK28" s="186"/>
      <c r="FL28" s="186"/>
      <c r="FM28" s="186"/>
      <c r="FN28" s="186"/>
      <c r="FO28" s="186"/>
      <c r="FP28" s="186"/>
      <c r="FQ28" s="186"/>
      <c r="FR28" s="186"/>
      <c r="FS28" s="186"/>
      <c r="FT28" s="186"/>
      <c r="FU28" s="186"/>
      <c r="FV28" s="186"/>
      <c r="FW28" s="186"/>
      <c r="FX28" s="186"/>
      <c r="FY28" s="186"/>
      <c r="FZ28" s="186"/>
      <c r="GA28" s="186"/>
      <c r="GB28" s="186"/>
      <c r="GC28" s="186"/>
      <c r="GD28" s="186"/>
      <c r="GE28" s="186"/>
      <c r="GF28" s="186"/>
      <c r="GG28" s="186"/>
      <c r="GH28" s="186"/>
      <c r="GI28" s="186"/>
      <c r="GJ28" s="186"/>
      <c r="GK28" s="186"/>
      <c r="GL28" s="186"/>
      <c r="GM28" s="186"/>
      <c r="GN28" s="186"/>
      <c r="GO28" s="186"/>
      <c r="GP28" s="186"/>
      <c r="GQ28" s="186"/>
      <c r="GR28" s="186"/>
      <c r="GS28" s="186"/>
      <c r="GT28" s="186"/>
      <c r="GU28" s="186"/>
      <c r="GV28" s="186"/>
      <c r="GW28" s="186"/>
      <c r="GX28" s="186"/>
      <c r="GY28" s="186"/>
      <c r="GZ28" s="186"/>
      <c r="HA28" s="186"/>
      <c r="HB28" s="186"/>
      <c r="HC28" s="186"/>
      <c r="HD28" s="186"/>
      <c r="HE28" s="186"/>
      <c r="HF28" s="186"/>
      <c r="HG28" s="186"/>
      <c r="HH28" s="186"/>
      <c r="HI28" s="186"/>
      <c r="HJ28" s="186"/>
      <c r="HK28" s="186"/>
      <c r="HL28" s="186"/>
      <c r="HM28" s="186"/>
      <c r="HN28" s="186"/>
      <c r="HO28" s="186"/>
      <c r="HP28" s="186"/>
      <c r="HQ28" s="186"/>
      <c r="HR28" s="186"/>
      <c r="HS28" s="186"/>
      <c r="HT28" s="186"/>
      <c r="HU28" s="186"/>
      <c r="HV28" s="186"/>
      <c r="HW28" s="186"/>
      <c r="HX28" s="186"/>
      <c r="HY28" s="186"/>
      <c r="HZ28" s="186"/>
      <c r="IA28" s="186"/>
      <c r="IB28" s="186"/>
      <c r="IC28" s="186"/>
      <c r="ID28" s="186"/>
      <c r="IE28" s="186"/>
      <c r="IF28" s="186"/>
      <c r="IG28" s="186"/>
      <c r="IH28" s="186"/>
      <c r="II28" s="186"/>
      <c r="IJ28" s="186"/>
      <c r="IK28" s="186"/>
      <c r="IL28" s="186"/>
      <c r="IM28" s="186"/>
      <c r="IN28" s="186"/>
      <c r="IO28" s="186"/>
      <c r="IP28" s="186"/>
      <c r="IQ28" s="186"/>
      <c r="IR28" s="186"/>
      <c r="IS28" s="186"/>
      <c r="IT28" s="186"/>
      <c r="IU28" s="186"/>
    </row>
  </sheetData>
  <sheetProtection sheet="1" objects="1" scenarios="1"/>
  <mergeCells count="19">
    <mergeCell ref="F24:G24"/>
    <mergeCell ref="F25:G25"/>
    <mergeCell ref="F26:G26"/>
    <mergeCell ref="F27:G27"/>
    <mergeCell ref="F28:G28"/>
    <mergeCell ref="A1:G1"/>
    <mergeCell ref="A3:G3"/>
    <mergeCell ref="F23:G23"/>
    <mergeCell ref="A4:G4"/>
    <mergeCell ref="A5:G5"/>
    <mergeCell ref="A6:G6"/>
    <mergeCell ref="B7:G7"/>
    <mergeCell ref="B8:G8"/>
    <mergeCell ref="B9:G9"/>
    <mergeCell ref="F18:G18"/>
    <mergeCell ref="F19:G19"/>
    <mergeCell ref="F20:G20"/>
    <mergeCell ref="F21:G21"/>
    <mergeCell ref="F22:G2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8"/>
  <sheetViews>
    <sheetView workbookViewId="0">
      <selection activeCell="IX1" sqref="G1:IX1048576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hidden="1" customWidth="1"/>
    <col min="9" max="9" width="8.7109375" hidden="1" customWidth="1"/>
    <col min="10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7" width="0" hidden="1" customWidth="1"/>
  </cols>
  <sheetData>
    <row r="1" spans="1:255" s="265" customFormat="1" ht="11.25" x14ac:dyDescent="0.2">
      <c r="A1" s="268" t="s">
        <v>300</v>
      </c>
      <c r="B1" s="268"/>
      <c r="C1" s="268"/>
      <c r="D1" s="268"/>
      <c r="E1" s="268"/>
      <c r="F1" s="268"/>
      <c r="G1" s="268"/>
    </row>
    <row r="2" spans="1:255" x14ac:dyDescent="0.2">
      <c r="A2" s="269" t="s">
        <v>911</v>
      </c>
      <c r="B2" s="275"/>
      <c r="C2" s="275"/>
      <c r="D2" s="275"/>
      <c r="E2" s="275"/>
      <c r="F2" s="275"/>
      <c r="G2" s="275"/>
    </row>
    <row r="3" spans="1:255" ht="18.75" x14ac:dyDescent="0.3">
      <c r="A3" s="276" t="s">
        <v>447</v>
      </c>
      <c r="B3" s="276"/>
      <c r="C3" s="276"/>
      <c r="D3" s="276"/>
      <c r="E3" s="276"/>
      <c r="F3" s="276"/>
      <c r="G3" s="276"/>
    </row>
    <row r="4" spans="1:255" x14ac:dyDescent="0.2">
      <c r="A4" s="277" t="s">
        <v>448</v>
      </c>
      <c r="B4" s="277"/>
      <c r="C4" s="277"/>
      <c r="D4" s="277"/>
      <c r="E4" s="277"/>
      <c r="F4" s="277"/>
      <c r="G4" s="277"/>
    </row>
    <row r="5" spans="1:255" x14ac:dyDescent="0.2">
      <c r="A5" s="277"/>
      <c r="B5" s="277"/>
      <c r="C5" s="277"/>
      <c r="D5" s="277"/>
      <c r="E5" s="277"/>
      <c r="F5" s="277"/>
      <c r="G5" s="277"/>
    </row>
    <row r="6" spans="1:255" ht="47.25" x14ac:dyDescent="0.25">
      <c r="A6" s="14" t="s">
        <v>449</v>
      </c>
      <c r="B6" s="311" t="s">
        <v>4</v>
      </c>
      <c r="C6" s="311"/>
      <c r="D6" s="311"/>
      <c r="E6" s="311"/>
      <c r="F6" s="311"/>
      <c r="G6" s="311"/>
      <c r="BS6" s="181" t="str">
        <f>B6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IU6" s="23"/>
    </row>
    <row r="7" spans="1:255" ht="47.25" x14ac:dyDescent="0.25">
      <c r="A7" s="14" t="s">
        <v>313</v>
      </c>
      <c r="B7" s="278" t="s">
        <v>4</v>
      </c>
      <c r="C7" s="278"/>
      <c r="D7" s="278"/>
      <c r="E7" s="278"/>
      <c r="F7" s="278"/>
      <c r="G7" s="278"/>
      <c r="BS7" s="181" t="str">
        <f>B7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IU7" s="23"/>
    </row>
    <row r="8" spans="1:255" x14ac:dyDescent="0.2">
      <c r="A8" s="14" t="s">
        <v>314</v>
      </c>
      <c r="B8" s="312" t="s">
        <v>617</v>
      </c>
      <c r="C8" s="313"/>
      <c r="D8" s="313"/>
      <c r="E8" s="313"/>
      <c r="F8" s="313"/>
      <c r="G8" s="313"/>
      <c r="BT8" s="22">
        <f>C8</f>
        <v>0</v>
      </c>
      <c r="IU8" s="23"/>
    </row>
    <row r="10" spans="1:255" x14ac:dyDescent="0.2">
      <c r="A10" s="14" t="s">
        <v>328</v>
      </c>
    </row>
    <row r="11" spans="1:255" x14ac:dyDescent="0.2">
      <c r="A11" s="14" t="s">
        <v>561</v>
      </c>
    </row>
    <row r="12" spans="1:255" x14ac:dyDescent="0.2">
      <c r="A12" s="182" t="s">
        <v>450</v>
      </c>
      <c r="B12" s="182" t="s">
        <v>452</v>
      </c>
      <c r="C12" s="182" t="s">
        <v>455</v>
      </c>
      <c r="D12" s="182" t="s">
        <v>457</v>
      </c>
      <c r="E12" s="182" t="s">
        <v>460</v>
      </c>
      <c r="F12" s="182" t="s">
        <v>462</v>
      </c>
      <c r="G12" s="182" t="s">
        <v>464</v>
      </c>
      <c r="H12" s="182" t="s">
        <v>466</v>
      </c>
      <c r="I12" s="183" t="s">
        <v>426</v>
      </c>
    </row>
    <row r="13" spans="1:255" x14ac:dyDescent="0.2">
      <c r="A13" s="200" t="s">
        <v>451</v>
      </c>
      <c r="B13" s="200" t="s">
        <v>453</v>
      </c>
      <c r="C13" s="200" t="s">
        <v>456</v>
      </c>
      <c r="D13" s="200" t="s">
        <v>458</v>
      </c>
      <c r="E13" s="200" t="s">
        <v>461</v>
      </c>
      <c r="F13" s="200" t="s">
        <v>463</v>
      </c>
      <c r="G13" s="200" t="s">
        <v>465</v>
      </c>
      <c r="H13" s="200" t="s">
        <v>467</v>
      </c>
      <c r="I13" s="200" t="s">
        <v>362</v>
      </c>
    </row>
    <row r="14" spans="1:255" x14ac:dyDescent="0.2">
      <c r="A14" s="200"/>
      <c r="B14" s="200" t="s">
        <v>454</v>
      </c>
      <c r="C14" s="200"/>
      <c r="D14" s="200" t="s">
        <v>459</v>
      </c>
      <c r="E14" s="200"/>
      <c r="F14" s="200"/>
      <c r="G14" s="200" t="s">
        <v>463</v>
      </c>
      <c r="H14" s="200" t="s">
        <v>468</v>
      </c>
      <c r="I14" s="200"/>
    </row>
    <row r="15" spans="1:255" x14ac:dyDescent="0.2">
      <c r="A15" s="200">
        <v>1</v>
      </c>
      <c r="B15" s="200">
        <v>2</v>
      </c>
      <c r="C15" s="200">
        <v>3</v>
      </c>
      <c r="D15" s="200">
        <v>4</v>
      </c>
      <c r="E15" s="200">
        <v>5</v>
      </c>
      <c r="F15" s="200">
        <v>6</v>
      </c>
      <c r="G15" s="200">
        <v>7</v>
      </c>
      <c r="H15" s="200">
        <v>8</v>
      </c>
      <c r="I15" s="200">
        <v>9</v>
      </c>
    </row>
    <row r="16" spans="1:255" x14ac:dyDescent="0.2">
      <c r="A16" s="193"/>
      <c r="B16" s="193" t="s">
        <v>469</v>
      </c>
      <c r="C16" s="193"/>
      <c r="D16" s="193"/>
      <c r="E16" s="193"/>
      <c r="F16" s="193"/>
      <c r="G16" s="190"/>
      <c r="H16" s="190"/>
      <c r="I16" s="190"/>
    </row>
    <row r="17" spans="1:255" s="43" customFormat="1" ht="24" x14ac:dyDescent="0.2">
      <c r="A17" s="194">
        <v>4</v>
      </c>
      <c r="B17" s="195" t="s">
        <v>616</v>
      </c>
      <c r="C17" s="195" t="s">
        <v>615</v>
      </c>
      <c r="D17" s="195" t="s">
        <v>606</v>
      </c>
      <c r="E17" s="196">
        <f t="shared" ref="E17:E18" si="0">O17</f>
        <v>633</v>
      </c>
      <c r="F17" s="314" t="s">
        <v>909</v>
      </c>
      <c r="G17" s="315"/>
      <c r="H17" s="199" t="s">
        <v>614</v>
      </c>
      <c r="I17" s="199" t="s">
        <v>471</v>
      </c>
      <c r="N17" s="186"/>
      <c r="O17" s="186">
        <f t="shared" ref="O17:O18" si="1">SUM(P17:IV17)</f>
        <v>633</v>
      </c>
      <c r="P17" s="186">
        <f>[2]Source!I90</f>
        <v>633</v>
      </c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6"/>
      <c r="CS17" s="186"/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86"/>
      <c r="DK17" s="186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86"/>
      <c r="DW17" s="186"/>
      <c r="DX17" s="186"/>
      <c r="DY17" s="186"/>
      <c r="DZ17" s="186"/>
      <c r="EA17" s="186"/>
      <c r="EB17" s="186"/>
      <c r="EC17" s="186"/>
      <c r="ED17" s="186"/>
      <c r="EE17" s="186"/>
      <c r="EF17" s="186"/>
      <c r="EG17" s="186"/>
      <c r="EH17" s="186"/>
      <c r="EI17" s="186"/>
      <c r="EJ17" s="186"/>
      <c r="EK17" s="186"/>
      <c r="EL17" s="186"/>
      <c r="EM17" s="186"/>
      <c r="EN17" s="186"/>
      <c r="EO17" s="186"/>
      <c r="EP17" s="186"/>
      <c r="EQ17" s="186"/>
      <c r="ER17" s="186"/>
      <c r="ES17" s="186"/>
      <c r="ET17" s="186"/>
      <c r="EU17" s="186"/>
      <c r="EV17" s="186"/>
      <c r="EW17" s="186"/>
      <c r="EX17" s="186"/>
      <c r="EY17" s="186"/>
      <c r="EZ17" s="186"/>
      <c r="FA17" s="186"/>
      <c r="FB17" s="186"/>
      <c r="FC17" s="186"/>
      <c r="FD17" s="186"/>
      <c r="FE17" s="186"/>
      <c r="FF17" s="186"/>
      <c r="FG17" s="186"/>
      <c r="FH17" s="186"/>
      <c r="FI17" s="186"/>
      <c r="FJ17" s="186"/>
      <c r="FK17" s="186"/>
      <c r="FL17" s="186"/>
      <c r="FM17" s="186"/>
      <c r="FN17" s="186"/>
      <c r="FO17" s="186"/>
      <c r="FP17" s="186"/>
      <c r="FQ17" s="186"/>
      <c r="FR17" s="186"/>
      <c r="FS17" s="186"/>
      <c r="FT17" s="186"/>
      <c r="FU17" s="186"/>
      <c r="FV17" s="186"/>
      <c r="FW17" s="186"/>
      <c r="FX17" s="186"/>
      <c r="FY17" s="186"/>
      <c r="FZ17" s="186"/>
      <c r="GA17" s="186"/>
      <c r="GB17" s="186"/>
      <c r="GC17" s="186"/>
      <c r="GD17" s="186"/>
      <c r="GE17" s="186"/>
      <c r="GF17" s="186"/>
      <c r="GG17" s="186"/>
      <c r="GH17" s="186"/>
      <c r="GI17" s="186"/>
      <c r="GJ17" s="186"/>
      <c r="GK17" s="186"/>
      <c r="GL17" s="186"/>
      <c r="GM17" s="186"/>
      <c r="GN17" s="186"/>
      <c r="GO17" s="186"/>
      <c r="GP17" s="186"/>
      <c r="GQ17" s="186"/>
      <c r="GR17" s="186"/>
      <c r="GS17" s="186"/>
      <c r="GT17" s="186"/>
      <c r="GU17" s="186"/>
      <c r="GV17" s="186"/>
      <c r="GW17" s="186"/>
      <c r="GX17" s="186"/>
      <c r="GY17" s="186"/>
      <c r="GZ17" s="186"/>
      <c r="HA17" s="186"/>
      <c r="HB17" s="186"/>
      <c r="HC17" s="186"/>
      <c r="HD17" s="186"/>
      <c r="HE17" s="186"/>
      <c r="HF17" s="186"/>
      <c r="HG17" s="186"/>
      <c r="HH17" s="186"/>
      <c r="HI17" s="186"/>
      <c r="HJ17" s="186"/>
      <c r="HK17" s="186"/>
      <c r="HL17" s="186"/>
      <c r="HM17" s="186"/>
      <c r="HN17" s="186"/>
      <c r="HO17" s="186"/>
      <c r="HP17" s="186"/>
      <c r="HQ17" s="186"/>
      <c r="HR17" s="186"/>
      <c r="HS17" s="186"/>
      <c r="HT17" s="186"/>
      <c r="HU17" s="186"/>
      <c r="HV17" s="186"/>
      <c r="HW17" s="186"/>
      <c r="HX17" s="186"/>
      <c r="HY17" s="186"/>
      <c r="HZ17" s="186"/>
      <c r="IA17" s="186"/>
      <c r="IB17" s="186"/>
      <c r="IC17" s="186"/>
      <c r="ID17" s="186"/>
      <c r="IE17" s="186"/>
      <c r="IF17" s="186"/>
      <c r="IG17" s="186"/>
      <c r="IH17" s="186"/>
      <c r="II17" s="186"/>
      <c r="IJ17" s="186"/>
      <c r="IK17" s="186"/>
      <c r="IL17" s="186"/>
      <c r="IM17" s="186"/>
      <c r="IN17" s="186"/>
      <c r="IO17" s="186"/>
      <c r="IP17" s="186"/>
      <c r="IQ17" s="186"/>
      <c r="IR17" s="186"/>
      <c r="IS17" s="186"/>
      <c r="IT17" s="186"/>
      <c r="IU17" s="186"/>
    </row>
    <row r="18" spans="1:255" s="43" customFormat="1" ht="24" x14ac:dyDescent="0.2">
      <c r="A18" s="194">
        <v>9</v>
      </c>
      <c r="B18" s="195" t="s">
        <v>613</v>
      </c>
      <c r="C18" s="195" t="s">
        <v>612</v>
      </c>
      <c r="D18" s="195" t="s">
        <v>537</v>
      </c>
      <c r="E18" s="196">
        <f t="shared" si="0"/>
        <v>3445.6800000000003</v>
      </c>
      <c r="F18" s="316"/>
      <c r="G18" s="317"/>
      <c r="H18" s="199" t="s">
        <v>611</v>
      </c>
      <c r="I18" s="199" t="s">
        <v>471</v>
      </c>
      <c r="N18" s="186"/>
      <c r="O18" s="186">
        <f t="shared" si="1"/>
        <v>3445.6800000000003</v>
      </c>
      <c r="P18" s="186">
        <f>[2]Source!I36</f>
        <v>3445.6800000000003</v>
      </c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  <c r="HJ18" s="186"/>
      <c r="HK18" s="186"/>
      <c r="HL18" s="186"/>
      <c r="HM18" s="186"/>
      <c r="HN18" s="186"/>
      <c r="HO18" s="186"/>
      <c r="HP18" s="186"/>
      <c r="HQ18" s="186"/>
      <c r="HR18" s="186"/>
      <c r="HS18" s="186"/>
      <c r="HT18" s="186"/>
      <c r="HU18" s="186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  <c r="IN18" s="186"/>
      <c r="IO18" s="186"/>
      <c r="IP18" s="186"/>
      <c r="IQ18" s="186"/>
      <c r="IR18" s="186"/>
      <c r="IS18" s="186"/>
      <c r="IT18" s="186"/>
      <c r="IU18" s="186"/>
    </row>
  </sheetData>
  <sheetProtection sheet="1" objects="1" scenarios="1"/>
  <mergeCells count="9">
    <mergeCell ref="F17:G18"/>
    <mergeCell ref="B8:G8"/>
    <mergeCell ref="A1:G1"/>
    <mergeCell ref="A2:G2"/>
    <mergeCell ref="A3:G3"/>
    <mergeCell ref="A4:G4"/>
    <mergeCell ref="A5:G5"/>
    <mergeCell ref="B6:G6"/>
    <mergeCell ref="B7:G7"/>
  </mergeCells>
  <pageMargins left="0.7" right="0.7" top="0.75" bottom="0.75" header="0.3" footer="0.3"/>
  <pageSetup paperSize="9" orientation="portrait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"/>
  <sheetViews>
    <sheetView workbookViewId="0">
      <selection activeCell="H1" sqref="H1:J1048576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hidden="1" customWidth="1"/>
    <col min="9" max="9" width="8.7109375" hidden="1" customWidth="1"/>
    <col min="10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265" customFormat="1" ht="11.25" x14ac:dyDescent="0.2">
      <c r="A1" s="268" t="s">
        <v>300</v>
      </c>
      <c r="B1" s="268"/>
      <c r="C1" s="268"/>
      <c r="D1" s="268"/>
      <c r="E1" s="268"/>
      <c r="F1" s="268"/>
      <c r="G1" s="268"/>
    </row>
    <row r="2" spans="1:255" x14ac:dyDescent="0.2">
      <c r="A2" s="269" t="s">
        <v>913</v>
      </c>
      <c r="B2" s="275"/>
      <c r="C2" s="275"/>
      <c r="D2" s="275"/>
      <c r="E2" s="275"/>
      <c r="F2" s="275"/>
      <c r="G2" s="275"/>
    </row>
    <row r="3" spans="1:255" ht="18.75" x14ac:dyDescent="0.3">
      <c r="A3" s="276" t="s">
        <v>447</v>
      </c>
      <c r="B3" s="276"/>
      <c r="C3" s="276"/>
      <c r="D3" s="276"/>
      <c r="E3" s="276"/>
      <c r="F3" s="276"/>
      <c r="G3" s="276"/>
    </row>
    <row r="4" spans="1:255" x14ac:dyDescent="0.2">
      <c r="A4" s="277" t="s">
        <v>448</v>
      </c>
      <c r="B4" s="277"/>
      <c r="C4" s="277"/>
      <c r="D4" s="277"/>
      <c r="E4" s="277"/>
      <c r="F4" s="277"/>
      <c r="G4" s="277"/>
    </row>
    <row r="5" spans="1:255" x14ac:dyDescent="0.2">
      <c r="A5" s="277"/>
      <c r="B5" s="277"/>
      <c r="C5" s="277"/>
      <c r="D5" s="277"/>
      <c r="E5" s="277"/>
      <c r="F5" s="277"/>
      <c r="G5" s="277"/>
    </row>
    <row r="6" spans="1:255" ht="31.5" x14ac:dyDescent="0.25">
      <c r="A6" s="14" t="s">
        <v>449</v>
      </c>
      <c r="B6" s="311" t="s">
        <v>644</v>
      </c>
      <c r="C6" s="311"/>
      <c r="D6" s="311"/>
      <c r="E6" s="311"/>
      <c r="F6" s="311"/>
      <c r="G6" s="311"/>
      <c r="BS6" s="181" t="str">
        <f>B6</f>
        <v>Комплекс из 2-х многоквартирных домов , расположенных по адресу:  г. Орел, б-р Молодежи , участок 2а. (поз.1)</v>
      </c>
      <c r="IU6" s="23"/>
    </row>
    <row r="7" spans="1:255" ht="31.5" x14ac:dyDescent="0.25">
      <c r="A7" s="14" t="s">
        <v>313</v>
      </c>
      <c r="B7" s="278" t="s">
        <v>644</v>
      </c>
      <c r="C7" s="278"/>
      <c r="D7" s="278"/>
      <c r="E7" s="278"/>
      <c r="F7" s="278"/>
      <c r="G7" s="278"/>
      <c r="BS7" s="181" t="str">
        <f>B7</f>
        <v>Комплекс из 2-х многоквартирных домов , расположенных по адресу:  г. Орел, б-р Молодежи , участок 2а. (поз.1)</v>
      </c>
      <c r="IU7" s="23"/>
    </row>
    <row r="8" spans="1:255" x14ac:dyDescent="0.2">
      <c r="A8" s="14" t="s">
        <v>314</v>
      </c>
      <c r="B8" s="312" t="s">
        <v>645</v>
      </c>
      <c r="C8" s="313"/>
      <c r="D8" s="313"/>
      <c r="E8" s="313"/>
      <c r="F8" s="313"/>
      <c r="G8" s="313"/>
      <c r="BT8" s="22">
        <f>C8</f>
        <v>0</v>
      </c>
      <c r="IU8" s="23"/>
    </row>
    <row r="10" spans="1:255" x14ac:dyDescent="0.2">
      <c r="A10" s="14" t="s">
        <v>328</v>
      </c>
    </row>
    <row r="11" spans="1:255" x14ac:dyDescent="0.2">
      <c r="A11" s="14" t="s">
        <v>561</v>
      </c>
    </row>
    <row r="12" spans="1:255" x14ac:dyDescent="0.2">
      <c r="A12" s="182" t="s">
        <v>450</v>
      </c>
      <c r="B12" s="182" t="s">
        <v>452</v>
      </c>
      <c r="C12" s="182" t="s">
        <v>455</v>
      </c>
      <c r="D12" s="182" t="s">
        <v>457</v>
      </c>
      <c r="E12" s="182" t="s">
        <v>460</v>
      </c>
      <c r="F12" s="182" t="s">
        <v>462</v>
      </c>
      <c r="G12" s="182" t="s">
        <v>464</v>
      </c>
      <c r="H12" s="182" t="s">
        <v>466</v>
      </c>
      <c r="I12" s="183" t="s">
        <v>426</v>
      </c>
    </row>
    <row r="13" spans="1:255" x14ac:dyDescent="0.2">
      <c r="A13" s="200" t="s">
        <v>451</v>
      </c>
      <c r="B13" s="200" t="s">
        <v>453</v>
      </c>
      <c r="C13" s="200" t="s">
        <v>456</v>
      </c>
      <c r="D13" s="200" t="s">
        <v>458</v>
      </c>
      <c r="E13" s="200" t="s">
        <v>461</v>
      </c>
      <c r="F13" s="200" t="s">
        <v>463</v>
      </c>
      <c r="G13" s="200" t="s">
        <v>465</v>
      </c>
      <c r="H13" s="200" t="s">
        <v>467</v>
      </c>
      <c r="I13" s="200" t="s">
        <v>362</v>
      </c>
    </row>
    <row r="14" spans="1:255" x14ac:dyDescent="0.2">
      <c r="A14" s="200"/>
      <c r="B14" s="200" t="s">
        <v>454</v>
      </c>
      <c r="C14" s="200"/>
      <c r="D14" s="200" t="s">
        <v>459</v>
      </c>
      <c r="E14" s="200"/>
      <c r="F14" s="200"/>
      <c r="G14" s="200" t="s">
        <v>463</v>
      </c>
      <c r="H14" s="200" t="s">
        <v>468</v>
      </c>
      <c r="I14" s="200"/>
    </row>
    <row r="15" spans="1:255" x14ac:dyDescent="0.2">
      <c r="A15" s="200">
        <v>1</v>
      </c>
      <c r="B15" s="200">
        <v>2</v>
      </c>
      <c r="C15" s="200">
        <v>3</v>
      </c>
      <c r="D15" s="200">
        <v>4</v>
      </c>
      <c r="E15" s="200">
        <v>5</v>
      </c>
      <c r="F15" s="200">
        <v>6</v>
      </c>
      <c r="G15" s="200">
        <v>7</v>
      </c>
      <c r="H15" s="200">
        <v>8</v>
      </c>
      <c r="I15" s="200">
        <v>9</v>
      </c>
    </row>
    <row r="16" spans="1:255" x14ac:dyDescent="0.2">
      <c r="A16" s="193"/>
      <c r="B16" s="193" t="s">
        <v>469</v>
      </c>
      <c r="C16" s="193"/>
      <c r="D16" s="193"/>
      <c r="E16" s="193"/>
      <c r="F16" s="193"/>
      <c r="G16" s="190"/>
      <c r="H16" s="190"/>
      <c r="I16" s="190"/>
    </row>
    <row r="17" spans="1:255" s="43" customFormat="1" ht="24" x14ac:dyDescent="0.2">
      <c r="A17" s="194">
        <v>5</v>
      </c>
      <c r="B17" s="195" t="s">
        <v>646</v>
      </c>
      <c r="C17" s="195" t="s">
        <v>647</v>
      </c>
      <c r="D17" s="195" t="s">
        <v>606</v>
      </c>
      <c r="E17" s="196">
        <f t="shared" ref="E17:E23" si="0">O17</f>
        <v>96</v>
      </c>
      <c r="F17" s="309" t="s">
        <v>910</v>
      </c>
      <c r="G17" s="310"/>
      <c r="H17" s="199" t="s">
        <v>648</v>
      </c>
      <c r="I17" s="199" t="s">
        <v>471</v>
      </c>
      <c r="N17" s="186"/>
      <c r="O17" s="186">
        <f t="shared" ref="O17:O23" si="1">SUM(P17:IV17)</f>
        <v>96</v>
      </c>
      <c r="P17" s="186">
        <f>[3]Source!I189</f>
        <v>96</v>
      </c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6"/>
      <c r="CS17" s="186"/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86"/>
      <c r="DK17" s="186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86"/>
      <c r="DW17" s="186"/>
      <c r="DX17" s="186"/>
      <c r="DY17" s="186"/>
      <c r="DZ17" s="186"/>
      <c r="EA17" s="186"/>
      <c r="EB17" s="186"/>
      <c r="EC17" s="186"/>
      <c r="ED17" s="186"/>
      <c r="EE17" s="186"/>
      <c r="EF17" s="186"/>
      <c r="EG17" s="186"/>
      <c r="EH17" s="186"/>
      <c r="EI17" s="186"/>
      <c r="EJ17" s="186"/>
      <c r="EK17" s="186"/>
      <c r="EL17" s="186"/>
      <c r="EM17" s="186"/>
      <c r="EN17" s="186"/>
      <c r="EO17" s="186"/>
      <c r="EP17" s="186"/>
      <c r="EQ17" s="186"/>
      <c r="ER17" s="186"/>
      <c r="ES17" s="186"/>
      <c r="ET17" s="186"/>
      <c r="EU17" s="186"/>
      <c r="EV17" s="186"/>
      <c r="EW17" s="186"/>
      <c r="EX17" s="186"/>
      <c r="EY17" s="186"/>
      <c r="EZ17" s="186"/>
      <c r="FA17" s="186"/>
      <c r="FB17" s="186"/>
      <c r="FC17" s="186"/>
      <c r="FD17" s="186"/>
      <c r="FE17" s="186"/>
      <c r="FF17" s="186"/>
      <c r="FG17" s="186"/>
      <c r="FH17" s="186"/>
      <c r="FI17" s="186"/>
      <c r="FJ17" s="186"/>
      <c r="FK17" s="186"/>
      <c r="FL17" s="186"/>
      <c r="FM17" s="186"/>
      <c r="FN17" s="186"/>
      <c r="FO17" s="186"/>
      <c r="FP17" s="186"/>
      <c r="FQ17" s="186"/>
      <c r="FR17" s="186"/>
      <c r="FS17" s="186"/>
      <c r="FT17" s="186"/>
      <c r="FU17" s="186"/>
      <c r="FV17" s="186"/>
      <c r="FW17" s="186"/>
      <c r="FX17" s="186"/>
      <c r="FY17" s="186"/>
      <c r="FZ17" s="186"/>
      <c r="GA17" s="186"/>
      <c r="GB17" s="186"/>
      <c r="GC17" s="186"/>
      <c r="GD17" s="186"/>
      <c r="GE17" s="186"/>
      <c r="GF17" s="186"/>
      <c r="GG17" s="186"/>
      <c r="GH17" s="186"/>
      <c r="GI17" s="186"/>
      <c r="GJ17" s="186"/>
      <c r="GK17" s="186"/>
      <c r="GL17" s="186"/>
      <c r="GM17" s="186"/>
      <c r="GN17" s="186"/>
      <c r="GO17" s="186"/>
      <c r="GP17" s="186"/>
      <c r="GQ17" s="186"/>
      <c r="GR17" s="186"/>
      <c r="GS17" s="186"/>
      <c r="GT17" s="186"/>
      <c r="GU17" s="186"/>
      <c r="GV17" s="186"/>
      <c r="GW17" s="186"/>
      <c r="GX17" s="186"/>
      <c r="GY17" s="186"/>
      <c r="GZ17" s="186"/>
      <c r="HA17" s="186"/>
      <c r="HB17" s="186"/>
      <c r="HC17" s="186"/>
      <c r="HD17" s="186"/>
      <c r="HE17" s="186"/>
      <c r="HF17" s="186"/>
      <c r="HG17" s="186"/>
      <c r="HH17" s="186"/>
      <c r="HI17" s="186"/>
      <c r="HJ17" s="186"/>
      <c r="HK17" s="186"/>
      <c r="HL17" s="186"/>
      <c r="HM17" s="186"/>
      <c r="HN17" s="186"/>
      <c r="HO17" s="186"/>
      <c r="HP17" s="186"/>
      <c r="HQ17" s="186"/>
      <c r="HR17" s="186"/>
      <c r="HS17" s="186"/>
      <c r="HT17" s="186"/>
      <c r="HU17" s="186"/>
      <c r="HV17" s="186"/>
      <c r="HW17" s="186"/>
      <c r="HX17" s="186"/>
      <c r="HY17" s="186"/>
      <c r="HZ17" s="186"/>
      <c r="IA17" s="186"/>
      <c r="IB17" s="186"/>
      <c r="IC17" s="186"/>
      <c r="ID17" s="186"/>
      <c r="IE17" s="186"/>
      <c r="IF17" s="186"/>
      <c r="IG17" s="186"/>
      <c r="IH17" s="186"/>
      <c r="II17" s="186"/>
      <c r="IJ17" s="186"/>
      <c r="IK17" s="186"/>
      <c r="IL17" s="186"/>
      <c r="IM17" s="186"/>
      <c r="IN17" s="186"/>
      <c r="IO17" s="186"/>
      <c r="IP17" s="186"/>
      <c r="IQ17" s="186"/>
      <c r="IR17" s="186"/>
      <c r="IS17" s="186"/>
      <c r="IT17" s="186"/>
      <c r="IU17" s="186"/>
    </row>
    <row r="18" spans="1:255" s="43" customFormat="1" ht="24" x14ac:dyDescent="0.2">
      <c r="A18" s="194">
        <v>6</v>
      </c>
      <c r="B18" s="195" t="s">
        <v>616</v>
      </c>
      <c r="C18" s="195" t="s">
        <v>615</v>
      </c>
      <c r="D18" s="195" t="s">
        <v>606</v>
      </c>
      <c r="E18" s="196">
        <f t="shared" si="0"/>
        <v>95</v>
      </c>
      <c r="F18" s="309" t="s">
        <v>910</v>
      </c>
      <c r="G18" s="310"/>
      <c r="H18" s="199" t="s">
        <v>649</v>
      </c>
      <c r="I18" s="199" t="s">
        <v>471</v>
      </c>
      <c r="N18" s="186"/>
      <c r="O18" s="186">
        <f t="shared" si="1"/>
        <v>95</v>
      </c>
      <c r="P18" s="186">
        <f>[3]Source!I94</f>
        <v>95</v>
      </c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  <c r="HJ18" s="186"/>
      <c r="HK18" s="186"/>
      <c r="HL18" s="186"/>
      <c r="HM18" s="186"/>
      <c r="HN18" s="186"/>
      <c r="HO18" s="186"/>
      <c r="HP18" s="186"/>
      <c r="HQ18" s="186"/>
      <c r="HR18" s="186"/>
      <c r="HS18" s="186"/>
      <c r="HT18" s="186"/>
      <c r="HU18" s="186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  <c r="IN18" s="186"/>
      <c r="IO18" s="186"/>
      <c r="IP18" s="186"/>
      <c r="IQ18" s="186"/>
      <c r="IR18" s="186"/>
      <c r="IS18" s="186"/>
      <c r="IT18" s="186"/>
      <c r="IU18" s="186"/>
    </row>
    <row r="19" spans="1:255" s="43" customFormat="1" ht="24" x14ac:dyDescent="0.2">
      <c r="A19" s="194">
        <v>11</v>
      </c>
      <c r="B19" s="195" t="s">
        <v>613</v>
      </c>
      <c r="C19" s="195" t="s">
        <v>612</v>
      </c>
      <c r="D19" s="195" t="s">
        <v>537</v>
      </c>
      <c r="E19" s="196">
        <f t="shared" si="0"/>
        <v>412.125</v>
      </c>
      <c r="F19" s="309" t="s">
        <v>910</v>
      </c>
      <c r="G19" s="310"/>
      <c r="H19" s="199" t="s">
        <v>611</v>
      </c>
      <c r="I19" s="199" t="s">
        <v>471</v>
      </c>
      <c r="N19" s="186"/>
      <c r="O19" s="186">
        <f t="shared" si="1"/>
        <v>412.125</v>
      </c>
      <c r="P19" s="186">
        <f>[3]Source!I40</f>
        <v>412.125</v>
      </c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86"/>
      <c r="EI19" s="186"/>
      <c r="EJ19" s="186"/>
      <c r="EK19" s="186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6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  <c r="FH19" s="186"/>
      <c r="FI19" s="186"/>
      <c r="FJ19" s="186"/>
      <c r="FK19" s="186"/>
      <c r="FL19" s="186"/>
      <c r="FM19" s="186"/>
      <c r="FN19" s="186"/>
      <c r="FO19" s="186"/>
      <c r="FP19" s="186"/>
      <c r="FQ19" s="186"/>
      <c r="FR19" s="186"/>
      <c r="FS19" s="186"/>
      <c r="FT19" s="186"/>
      <c r="FU19" s="186"/>
      <c r="FV19" s="186"/>
      <c r="FW19" s="186"/>
      <c r="FX19" s="186"/>
      <c r="FY19" s="186"/>
      <c r="FZ19" s="186"/>
      <c r="GA19" s="186"/>
      <c r="GB19" s="186"/>
      <c r="GC19" s="186"/>
      <c r="GD19" s="186"/>
      <c r="GE19" s="186"/>
      <c r="GF19" s="186"/>
      <c r="GG19" s="186"/>
      <c r="GH19" s="186"/>
      <c r="GI19" s="186"/>
      <c r="GJ19" s="186"/>
      <c r="GK19" s="186"/>
      <c r="GL19" s="186"/>
      <c r="GM19" s="186"/>
      <c r="GN19" s="186"/>
      <c r="GO19" s="186"/>
      <c r="GP19" s="186"/>
      <c r="GQ19" s="186"/>
      <c r="GR19" s="186"/>
      <c r="GS19" s="186"/>
      <c r="GT19" s="186"/>
      <c r="GU19" s="186"/>
      <c r="GV19" s="186"/>
      <c r="GW19" s="186"/>
      <c r="GX19" s="186"/>
      <c r="GY19" s="186"/>
      <c r="GZ19" s="186"/>
      <c r="HA19" s="186"/>
      <c r="HB19" s="186"/>
      <c r="HC19" s="186"/>
      <c r="HD19" s="186"/>
      <c r="HE19" s="186"/>
      <c r="HF19" s="186"/>
      <c r="HG19" s="186"/>
      <c r="HH19" s="186"/>
      <c r="HI19" s="186"/>
      <c r="HJ19" s="186"/>
      <c r="HK19" s="186"/>
      <c r="HL19" s="186"/>
      <c r="HM19" s="186"/>
      <c r="HN19" s="186"/>
      <c r="HO19" s="186"/>
      <c r="HP19" s="186"/>
      <c r="HQ19" s="186"/>
      <c r="HR19" s="186"/>
      <c r="HS19" s="186"/>
      <c r="HT19" s="186"/>
      <c r="HU19" s="186"/>
      <c r="HV19" s="186"/>
      <c r="HW19" s="186"/>
      <c r="HX19" s="186"/>
      <c r="HY19" s="186"/>
      <c r="HZ19" s="186"/>
      <c r="IA19" s="186"/>
      <c r="IB19" s="186"/>
      <c r="IC19" s="186"/>
      <c r="ID19" s="186"/>
      <c r="IE19" s="186"/>
      <c r="IF19" s="186"/>
      <c r="IG19" s="186"/>
      <c r="IH19" s="186"/>
      <c r="II19" s="186"/>
      <c r="IJ19" s="186"/>
      <c r="IK19" s="186"/>
      <c r="IL19" s="186"/>
      <c r="IM19" s="186"/>
      <c r="IN19" s="186"/>
      <c r="IO19" s="186"/>
      <c r="IP19" s="186"/>
      <c r="IQ19" s="186"/>
      <c r="IR19" s="186"/>
      <c r="IS19" s="186"/>
      <c r="IT19" s="186"/>
      <c r="IU19" s="186"/>
    </row>
    <row r="20" spans="1:255" s="43" customFormat="1" ht="24" x14ac:dyDescent="0.2">
      <c r="A20" s="194">
        <v>12</v>
      </c>
      <c r="B20" s="195" t="s">
        <v>544</v>
      </c>
      <c r="C20" s="195" t="s">
        <v>543</v>
      </c>
      <c r="D20" s="195" t="s">
        <v>542</v>
      </c>
      <c r="E20" s="196">
        <f t="shared" si="0"/>
        <v>25.83</v>
      </c>
      <c r="F20" s="309" t="s">
        <v>910</v>
      </c>
      <c r="G20" s="310"/>
      <c r="H20" s="199" t="s">
        <v>650</v>
      </c>
      <c r="I20" s="199" t="s">
        <v>471</v>
      </c>
      <c r="N20" s="186"/>
      <c r="O20" s="186">
        <f t="shared" si="1"/>
        <v>25.83</v>
      </c>
      <c r="P20" s="186">
        <f>[3]Source!I232</f>
        <v>25.83</v>
      </c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186"/>
      <c r="CQ20" s="186"/>
      <c r="CR20" s="186"/>
      <c r="CS20" s="186"/>
      <c r="CT20" s="186"/>
      <c r="CU20" s="186"/>
      <c r="CV20" s="186"/>
      <c r="CW20" s="186"/>
      <c r="CX20" s="186"/>
      <c r="CY20" s="186"/>
      <c r="CZ20" s="186"/>
      <c r="DA20" s="186"/>
      <c r="DB20" s="186"/>
      <c r="DC20" s="186"/>
      <c r="DD20" s="186"/>
      <c r="DE20" s="186"/>
      <c r="DF20" s="186"/>
      <c r="DG20" s="186"/>
      <c r="DH20" s="186"/>
      <c r="DI20" s="186"/>
      <c r="DJ20" s="186"/>
      <c r="DK20" s="186"/>
      <c r="DL20" s="186"/>
      <c r="DM20" s="186"/>
      <c r="DN20" s="186"/>
      <c r="DO20" s="186"/>
      <c r="DP20" s="186"/>
      <c r="DQ20" s="186"/>
      <c r="DR20" s="186"/>
      <c r="DS20" s="186"/>
      <c r="DT20" s="186"/>
      <c r="DU20" s="186"/>
      <c r="DV20" s="186"/>
      <c r="DW20" s="186"/>
      <c r="DX20" s="186"/>
      <c r="DY20" s="186"/>
      <c r="DZ20" s="186"/>
      <c r="EA20" s="186"/>
      <c r="EB20" s="186"/>
      <c r="EC20" s="186"/>
      <c r="ED20" s="186"/>
      <c r="EE20" s="186"/>
      <c r="EF20" s="186"/>
      <c r="EG20" s="186"/>
      <c r="EH20" s="186"/>
      <c r="EI20" s="186"/>
      <c r="EJ20" s="186"/>
      <c r="EK20" s="186"/>
      <c r="EL20" s="186"/>
      <c r="EM20" s="186"/>
      <c r="EN20" s="186"/>
      <c r="EO20" s="186"/>
      <c r="EP20" s="186"/>
      <c r="EQ20" s="186"/>
      <c r="ER20" s="186"/>
      <c r="ES20" s="186"/>
      <c r="ET20" s="186"/>
      <c r="EU20" s="186"/>
      <c r="EV20" s="186"/>
      <c r="EW20" s="186"/>
      <c r="EX20" s="186"/>
      <c r="EY20" s="186"/>
      <c r="EZ20" s="186"/>
      <c r="FA20" s="186"/>
      <c r="FB20" s="186"/>
      <c r="FC20" s="186"/>
      <c r="FD20" s="186"/>
      <c r="FE20" s="186"/>
      <c r="FF20" s="186"/>
      <c r="FG20" s="186"/>
      <c r="FH20" s="186"/>
      <c r="FI20" s="186"/>
      <c r="FJ20" s="186"/>
      <c r="FK20" s="186"/>
      <c r="FL20" s="186"/>
      <c r="FM20" s="186"/>
      <c r="FN20" s="186"/>
      <c r="FO20" s="186"/>
      <c r="FP20" s="186"/>
      <c r="FQ20" s="186"/>
      <c r="FR20" s="186"/>
      <c r="FS20" s="186"/>
      <c r="FT20" s="186"/>
      <c r="FU20" s="186"/>
      <c r="FV20" s="186"/>
      <c r="FW20" s="186"/>
      <c r="FX20" s="186"/>
      <c r="FY20" s="186"/>
      <c r="FZ20" s="186"/>
      <c r="GA20" s="186"/>
      <c r="GB20" s="186"/>
      <c r="GC20" s="186"/>
      <c r="GD20" s="186"/>
      <c r="GE20" s="186"/>
      <c r="GF20" s="186"/>
      <c r="GG20" s="186"/>
      <c r="GH20" s="186"/>
      <c r="GI20" s="186"/>
      <c r="GJ20" s="186"/>
      <c r="GK20" s="186"/>
      <c r="GL20" s="186"/>
      <c r="GM20" s="186"/>
      <c r="GN20" s="186"/>
      <c r="GO20" s="186"/>
      <c r="GP20" s="186"/>
      <c r="GQ20" s="186"/>
      <c r="GR20" s="186"/>
      <c r="GS20" s="186"/>
      <c r="GT20" s="186"/>
      <c r="GU20" s="186"/>
      <c r="GV20" s="186"/>
      <c r="GW20" s="186"/>
      <c r="GX20" s="186"/>
      <c r="GY20" s="186"/>
      <c r="GZ20" s="186"/>
      <c r="HA20" s="186"/>
      <c r="HB20" s="186"/>
      <c r="HC20" s="186"/>
      <c r="HD20" s="186"/>
      <c r="HE20" s="186"/>
      <c r="HF20" s="186"/>
      <c r="HG20" s="186"/>
      <c r="HH20" s="186"/>
      <c r="HI20" s="186"/>
      <c r="HJ20" s="186"/>
      <c r="HK20" s="186"/>
      <c r="HL20" s="186"/>
      <c r="HM20" s="186"/>
      <c r="HN20" s="186"/>
      <c r="HO20" s="186"/>
      <c r="HP20" s="186"/>
      <c r="HQ20" s="186"/>
      <c r="HR20" s="186"/>
      <c r="HS20" s="186"/>
      <c r="HT20" s="186"/>
      <c r="HU20" s="186"/>
      <c r="HV20" s="186"/>
      <c r="HW20" s="186"/>
      <c r="HX20" s="186"/>
      <c r="HY20" s="186"/>
      <c r="HZ20" s="186"/>
      <c r="IA20" s="186"/>
      <c r="IB20" s="186"/>
      <c r="IC20" s="186"/>
      <c r="ID20" s="186"/>
      <c r="IE20" s="186"/>
      <c r="IF20" s="186"/>
      <c r="IG20" s="186"/>
      <c r="IH20" s="186"/>
      <c r="II20" s="186"/>
      <c r="IJ20" s="186"/>
      <c r="IK20" s="186"/>
      <c r="IL20" s="186"/>
      <c r="IM20" s="186"/>
      <c r="IN20" s="186"/>
      <c r="IO20" s="186"/>
      <c r="IP20" s="186"/>
      <c r="IQ20" s="186"/>
      <c r="IR20" s="186"/>
      <c r="IS20" s="186"/>
      <c r="IT20" s="186"/>
      <c r="IU20" s="186"/>
    </row>
    <row r="21" spans="1:255" s="43" customFormat="1" ht="24" x14ac:dyDescent="0.2">
      <c r="A21" s="194">
        <v>16</v>
      </c>
      <c r="B21" s="195" t="s">
        <v>548</v>
      </c>
      <c r="C21" s="195" t="s">
        <v>651</v>
      </c>
      <c r="D21" s="195" t="s">
        <v>547</v>
      </c>
      <c r="E21" s="196">
        <f t="shared" si="0"/>
        <v>329.26</v>
      </c>
      <c r="F21" s="309" t="s">
        <v>910</v>
      </c>
      <c r="G21" s="310"/>
      <c r="H21" s="199" t="s">
        <v>652</v>
      </c>
      <c r="I21" s="199" t="s">
        <v>471</v>
      </c>
      <c r="N21" s="186"/>
      <c r="O21" s="186">
        <f t="shared" si="1"/>
        <v>329.26</v>
      </c>
      <c r="P21" s="186">
        <f>[3]Source!I246</f>
        <v>329.26</v>
      </c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86"/>
      <c r="GP21" s="186"/>
      <c r="GQ21" s="186"/>
      <c r="GR21" s="186"/>
      <c r="GS21" s="186"/>
      <c r="GT21" s="186"/>
      <c r="GU21" s="186"/>
      <c r="GV21" s="186"/>
      <c r="GW21" s="186"/>
      <c r="GX21" s="186"/>
      <c r="GY21" s="186"/>
      <c r="GZ21" s="186"/>
      <c r="HA21" s="186"/>
      <c r="HB21" s="186"/>
      <c r="HC21" s="186"/>
      <c r="HD21" s="186"/>
      <c r="HE21" s="186"/>
      <c r="HF21" s="186"/>
      <c r="HG21" s="186"/>
      <c r="HH21" s="186"/>
      <c r="HI21" s="186"/>
      <c r="HJ21" s="186"/>
      <c r="HK21" s="186"/>
      <c r="HL21" s="186"/>
      <c r="HM21" s="186"/>
      <c r="HN21" s="186"/>
      <c r="HO21" s="186"/>
      <c r="HP21" s="186"/>
      <c r="HQ21" s="186"/>
      <c r="HR21" s="186"/>
      <c r="HS21" s="186"/>
      <c r="HT21" s="186"/>
      <c r="HU21" s="186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  <c r="IN21" s="186"/>
      <c r="IO21" s="186"/>
      <c r="IP21" s="186"/>
      <c r="IQ21" s="186"/>
      <c r="IR21" s="186"/>
      <c r="IS21" s="186"/>
      <c r="IT21" s="186"/>
      <c r="IU21" s="186"/>
    </row>
    <row r="22" spans="1:255" s="43" customFormat="1" ht="36" x14ac:dyDescent="0.2">
      <c r="A22" s="194">
        <v>17</v>
      </c>
      <c r="B22" s="195" t="s">
        <v>653</v>
      </c>
      <c r="C22" s="195" t="s">
        <v>654</v>
      </c>
      <c r="D22" s="195" t="s">
        <v>537</v>
      </c>
      <c r="E22" s="196">
        <f t="shared" si="0"/>
        <v>134.84399999999999</v>
      </c>
      <c r="F22" s="309" t="s">
        <v>910</v>
      </c>
      <c r="G22" s="310"/>
      <c r="H22" s="199" t="s">
        <v>655</v>
      </c>
      <c r="I22" s="199" t="s">
        <v>471</v>
      </c>
      <c r="N22" s="186"/>
      <c r="O22" s="186">
        <f t="shared" si="1"/>
        <v>134.84399999999999</v>
      </c>
      <c r="P22" s="186">
        <f>[3]Source!I165</f>
        <v>122.91</v>
      </c>
      <c r="Q22" s="186">
        <f>[3]Source!I309</f>
        <v>11.933999999999999</v>
      </c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</row>
    <row r="23" spans="1:255" s="43" customFormat="1" ht="36" x14ac:dyDescent="0.2">
      <c r="A23" s="194">
        <v>20</v>
      </c>
      <c r="B23" s="195" t="s">
        <v>599</v>
      </c>
      <c r="C23" s="195" t="s">
        <v>598</v>
      </c>
      <c r="D23" s="195" t="s">
        <v>33</v>
      </c>
      <c r="E23" s="196">
        <f t="shared" si="0"/>
        <v>1.7176E-2</v>
      </c>
      <c r="F23" s="309" t="s">
        <v>910</v>
      </c>
      <c r="G23" s="310"/>
      <c r="H23" s="199" t="s">
        <v>656</v>
      </c>
      <c r="I23" s="199" t="s">
        <v>471</v>
      </c>
      <c r="N23" s="186"/>
      <c r="O23" s="186">
        <f t="shared" si="1"/>
        <v>1.7176E-2</v>
      </c>
      <c r="P23" s="186">
        <f>[3]Source!I299</f>
        <v>1.7176E-2</v>
      </c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  <c r="CP23" s="186"/>
      <c r="CQ23" s="186"/>
      <c r="CR23" s="186"/>
      <c r="CS23" s="186"/>
      <c r="CT23" s="186"/>
      <c r="CU23" s="186"/>
      <c r="CV23" s="186"/>
      <c r="CW23" s="186"/>
      <c r="CX23" s="186"/>
      <c r="CY23" s="186"/>
      <c r="CZ23" s="186"/>
      <c r="DA23" s="186"/>
      <c r="DB23" s="186"/>
      <c r="DC23" s="186"/>
      <c r="DD23" s="186"/>
      <c r="DE23" s="186"/>
      <c r="DF23" s="186"/>
      <c r="DG23" s="186"/>
      <c r="DH23" s="186"/>
      <c r="DI23" s="186"/>
      <c r="DJ23" s="186"/>
      <c r="DK23" s="186"/>
      <c r="DL23" s="186"/>
      <c r="DM23" s="186"/>
      <c r="DN23" s="186"/>
      <c r="DO23" s="186"/>
      <c r="DP23" s="186"/>
      <c r="DQ23" s="186"/>
      <c r="DR23" s="186"/>
      <c r="DS23" s="186"/>
      <c r="DT23" s="186"/>
      <c r="DU23" s="186"/>
      <c r="DV23" s="186"/>
      <c r="DW23" s="186"/>
      <c r="DX23" s="186"/>
      <c r="DY23" s="186"/>
      <c r="DZ23" s="186"/>
      <c r="EA23" s="186"/>
      <c r="EB23" s="186"/>
      <c r="EC23" s="186"/>
      <c r="ED23" s="186"/>
      <c r="EE23" s="186"/>
      <c r="EF23" s="186"/>
      <c r="EG23" s="186"/>
      <c r="EH23" s="186"/>
      <c r="EI23" s="186"/>
      <c r="EJ23" s="186"/>
      <c r="EK23" s="186"/>
      <c r="EL23" s="186"/>
      <c r="EM23" s="186"/>
      <c r="EN23" s="186"/>
      <c r="EO23" s="186"/>
      <c r="EP23" s="186"/>
      <c r="EQ23" s="186"/>
      <c r="ER23" s="186"/>
      <c r="ES23" s="186"/>
      <c r="ET23" s="186"/>
      <c r="EU23" s="186"/>
      <c r="EV23" s="186"/>
      <c r="EW23" s="186"/>
      <c r="EX23" s="186"/>
      <c r="EY23" s="186"/>
      <c r="EZ23" s="186"/>
      <c r="FA23" s="186"/>
      <c r="FB23" s="186"/>
      <c r="FC23" s="186"/>
      <c r="FD23" s="186"/>
      <c r="FE23" s="186"/>
      <c r="FF23" s="186"/>
      <c r="FG23" s="186"/>
      <c r="FH23" s="186"/>
      <c r="FI23" s="186"/>
      <c r="FJ23" s="186"/>
      <c r="FK23" s="186"/>
      <c r="FL23" s="186"/>
      <c r="FM23" s="186"/>
      <c r="FN23" s="186"/>
      <c r="FO23" s="186"/>
      <c r="FP23" s="186"/>
      <c r="FQ23" s="186"/>
      <c r="FR23" s="186"/>
      <c r="FS23" s="186"/>
      <c r="FT23" s="186"/>
      <c r="FU23" s="186"/>
      <c r="FV23" s="186"/>
      <c r="FW23" s="186"/>
      <c r="FX23" s="186"/>
      <c r="FY23" s="186"/>
      <c r="FZ23" s="186"/>
      <c r="GA23" s="186"/>
      <c r="GB23" s="186"/>
      <c r="GC23" s="186"/>
      <c r="GD23" s="186"/>
      <c r="GE23" s="186"/>
      <c r="GF23" s="186"/>
      <c r="GG23" s="186"/>
      <c r="GH23" s="186"/>
      <c r="GI23" s="186"/>
      <c r="GJ23" s="186"/>
      <c r="GK23" s="186"/>
      <c r="GL23" s="186"/>
      <c r="GM23" s="186"/>
      <c r="GN23" s="186"/>
      <c r="GO23" s="186"/>
      <c r="GP23" s="186"/>
      <c r="GQ23" s="186"/>
      <c r="GR23" s="186"/>
      <c r="GS23" s="186"/>
      <c r="GT23" s="186"/>
      <c r="GU23" s="186"/>
      <c r="GV23" s="186"/>
      <c r="GW23" s="186"/>
      <c r="GX23" s="186"/>
      <c r="GY23" s="186"/>
      <c r="GZ23" s="186"/>
      <c r="HA23" s="186"/>
      <c r="HB23" s="186"/>
      <c r="HC23" s="186"/>
      <c r="HD23" s="186"/>
      <c r="HE23" s="186"/>
      <c r="HF23" s="186"/>
      <c r="HG23" s="186"/>
      <c r="HH23" s="186"/>
      <c r="HI23" s="186"/>
      <c r="HJ23" s="186"/>
      <c r="HK23" s="186"/>
      <c r="HL23" s="186"/>
      <c r="HM23" s="186"/>
      <c r="HN23" s="186"/>
      <c r="HO23" s="186"/>
      <c r="HP23" s="186"/>
      <c r="HQ23" s="186"/>
      <c r="HR23" s="186"/>
      <c r="HS23" s="186"/>
      <c r="HT23" s="186"/>
      <c r="HU23" s="186"/>
      <c r="HV23" s="186"/>
      <c r="HW23" s="186"/>
      <c r="HX23" s="186"/>
      <c r="HY23" s="186"/>
      <c r="HZ23" s="186"/>
      <c r="IA23" s="186"/>
      <c r="IB23" s="186"/>
      <c r="IC23" s="186"/>
      <c r="ID23" s="186"/>
      <c r="IE23" s="186"/>
      <c r="IF23" s="186"/>
      <c r="IG23" s="186"/>
      <c r="IH23" s="186"/>
      <c r="II23" s="186"/>
      <c r="IJ23" s="186"/>
      <c r="IK23" s="186"/>
      <c r="IL23" s="186"/>
      <c r="IM23" s="186"/>
      <c r="IN23" s="186"/>
      <c r="IO23" s="186"/>
      <c r="IP23" s="186"/>
      <c r="IQ23" s="186"/>
      <c r="IR23" s="186"/>
      <c r="IS23" s="186"/>
      <c r="IT23" s="186"/>
      <c r="IU23" s="186"/>
    </row>
  </sheetData>
  <sheetProtection sheet="1" objects="1" scenarios="1"/>
  <mergeCells count="15">
    <mergeCell ref="A1:G1"/>
    <mergeCell ref="A2:G2"/>
    <mergeCell ref="F22:G22"/>
    <mergeCell ref="F23:G23"/>
    <mergeCell ref="A3:G3"/>
    <mergeCell ref="A4:G4"/>
    <mergeCell ref="A5:G5"/>
    <mergeCell ref="B6:G6"/>
    <mergeCell ref="B7:G7"/>
    <mergeCell ref="B8:G8"/>
    <mergeCell ref="F17:G17"/>
    <mergeCell ref="F18:G18"/>
    <mergeCell ref="F19:G19"/>
    <mergeCell ref="F20:G20"/>
    <mergeCell ref="F21:G21"/>
  </mergeCells>
  <pageMargins left="0.7" right="0.7" top="0.75" bottom="0.75" header="0.3" footer="0.3"/>
  <pageSetup paperSize="9" orientation="portrait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9"/>
  <sheetViews>
    <sheetView workbookViewId="0">
      <selection activeCell="H1" sqref="H1:I1048576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hidden="1" customWidth="1"/>
    <col min="9" max="9" width="8.7109375" hidden="1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265" customFormat="1" ht="11.25" x14ac:dyDescent="0.2">
      <c r="A1" s="268" t="s">
        <v>300</v>
      </c>
      <c r="B1" s="268"/>
      <c r="C1" s="268"/>
      <c r="D1" s="268"/>
      <c r="E1" s="268"/>
      <c r="F1" s="268"/>
      <c r="G1" s="268"/>
    </row>
    <row r="2" spans="1:255" x14ac:dyDescent="0.2">
      <c r="A2" s="269" t="s">
        <v>914</v>
      </c>
      <c r="B2" s="275"/>
      <c r="C2" s="275"/>
      <c r="D2" s="275"/>
      <c r="E2" s="275"/>
      <c r="F2" s="275"/>
      <c r="G2" s="275"/>
    </row>
    <row r="3" spans="1:255" ht="18.75" x14ac:dyDescent="0.3">
      <c r="A3" s="276" t="s">
        <v>447</v>
      </c>
      <c r="B3" s="276"/>
      <c r="C3" s="276"/>
      <c r="D3" s="276"/>
      <c r="E3" s="276"/>
      <c r="F3" s="276"/>
      <c r="G3" s="276"/>
    </row>
    <row r="4" spans="1:255" x14ac:dyDescent="0.2">
      <c r="A4" s="277" t="s">
        <v>448</v>
      </c>
      <c r="B4" s="277"/>
      <c r="C4" s="277"/>
      <c r="D4" s="277"/>
      <c r="E4" s="277"/>
      <c r="F4" s="277"/>
      <c r="G4" s="277"/>
    </row>
    <row r="5" spans="1:255" x14ac:dyDescent="0.2">
      <c r="A5" s="277"/>
      <c r="B5" s="277"/>
      <c r="C5" s="277"/>
      <c r="D5" s="277"/>
      <c r="E5" s="277"/>
      <c r="F5" s="277"/>
      <c r="G5" s="277"/>
    </row>
    <row r="6" spans="1:255" ht="47.25" x14ac:dyDescent="0.25">
      <c r="A6" s="14" t="s">
        <v>449</v>
      </c>
      <c r="B6" s="311" t="s">
        <v>4</v>
      </c>
      <c r="C6" s="311"/>
      <c r="D6" s="311"/>
      <c r="E6" s="311"/>
      <c r="F6" s="311"/>
      <c r="G6" s="311"/>
      <c r="BS6" s="181" t="str">
        <f>B6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IU6" s="23"/>
    </row>
    <row r="7" spans="1:255" ht="47.25" x14ac:dyDescent="0.25">
      <c r="A7" s="14" t="s">
        <v>313</v>
      </c>
      <c r="B7" s="278" t="s">
        <v>4</v>
      </c>
      <c r="C7" s="278"/>
      <c r="D7" s="278"/>
      <c r="E7" s="278"/>
      <c r="F7" s="278"/>
      <c r="G7" s="278"/>
      <c r="BS7" s="181" t="str">
        <f>B7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</v>
      </c>
      <c r="IU7" s="23"/>
    </row>
    <row r="8" spans="1:255" x14ac:dyDescent="0.2">
      <c r="A8" s="14" t="s">
        <v>314</v>
      </c>
      <c r="B8" s="312" t="s">
        <v>333</v>
      </c>
      <c r="C8" s="313"/>
      <c r="D8" s="313"/>
      <c r="E8" s="313"/>
      <c r="F8" s="313"/>
      <c r="G8" s="313"/>
      <c r="BT8" s="22">
        <f>C8</f>
        <v>0</v>
      </c>
      <c r="IU8" s="23"/>
    </row>
    <row r="10" spans="1:255" x14ac:dyDescent="0.2">
      <c r="A10" s="14" t="s">
        <v>328</v>
      </c>
    </row>
    <row r="11" spans="1:255" x14ac:dyDescent="0.2">
      <c r="A11" s="14" t="s">
        <v>329</v>
      </c>
    </row>
    <row r="12" spans="1:255" x14ac:dyDescent="0.2">
      <c r="A12" s="182" t="s">
        <v>450</v>
      </c>
      <c r="B12" s="182" t="s">
        <v>452</v>
      </c>
      <c r="C12" s="182" t="s">
        <v>455</v>
      </c>
      <c r="D12" s="182" t="s">
        <v>457</v>
      </c>
      <c r="E12" s="182" t="s">
        <v>460</v>
      </c>
      <c r="F12" s="182" t="s">
        <v>462</v>
      </c>
      <c r="G12" s="182" t="s">
        <v>464</v>
      </c>
      <c r="H12" s="182" t="s">
        <v>466</v>
      </c>
      <c r="I12" s="183" t="s">
        <v>426</v>
      </c>
    </row>
    <row r="13" spans="1:255" x14ac:dyDescent="0.2">
      <c r="A13" s="200" t="s">
        <v>451</v>
      </c>
      <c r="B13" s="200" t="s">
        <v>453</v>
      </c>
      <c r="C13" s="200" t="s">
        <v>456</v>
      </c>
      <c r="D13" s="200" t="s">
        <v>458</v>
      </c>
      <c r="E13" s="200" t="s">
        <v>461</v>
      </c>
      <c r="F13" s="200" t="s">
        <v>463</v>
      </c>
      <c r="G13" s="200" t="s">
        <v>465</v>
      </c>
      <c r="H13" s="200" t="s">
        <v>467</v>
      </c>
      <c r="I13" s="200" t="s">
        <v>362</v>
      </c>
    </row>
    <row r="14" spans="1:255" x14ac:dyDescent="0.2">
      <c r="A14" s="200"/>
      <c r="B14" s="200" t="s">
        <v>454</v>
      </c>
      <c r="C14" s="200"/>
      <c r="D14" s="200" t="s">
        <v>459</v>
      </c>
      <c r="E14" s="200"/>
      <c r="F14" s="200"/>
      <c r="G14" s="200" t="s">
        <v>463</v>
      </c>
      <c r="H14" s="200" t="s">
        <v>468</v>
      </c>
      <c r="I14" s="200"/>
    </row>
    <row r="15" spans="1:255" x14ac:dyDescent="0.2">
      <c r="A15" s="200">
        <v>1</v>
      </c>
      <c r="B15" s="200">
        <v>2</v>
      </c>
      <c r="C15" s="200">
        <v>3</v>
      </c>
      <c r="D15" s="200">
        <v>4</v>
      </c>
      <c r="E15" s="200">
        <v>5</v>
      </c>
      <c r="F15" s="200">
        <v>6</v>
      </c>
      <c r="G15" s="200">
        <v>7</v>
      </c>
      <c r="H15" s="200">
        <v>8</v>
      </c>
      <c r="I15" s="200">
        <v>9</v>
      </c>
    </row>
    <row r="16" spans="1:255" x14ac:dyDescent="0.2">
      <c r="A16" s="193"/>
      <c r="B16" s="193" t="s">
        <v>469</v>
      </c>
      <c r="C16" s="193"/>
      <c r="D16" s="193"/>
      <c r="E16" s="193"/>
      <c r="F16" s="193"/>
      <c r="G16" s="190"/>
      <c r="H16" s="190"/>
      <c r="I16" s="190"/>
    </row>
    <row r="17" spans="1:255" s="43" customFormat="1" ht="84" x14ac:dyDescent="0.2">
      <c r="A17" s="194">
        <v>2</v>
      </c>
      <c r="B17" s="195" t="s">
        <v>92</v>
      </c>
      <c r="C17" s="195" t="s">
        <v>93</v>
      </c>
      <c r="D17" s="195" t="s">
        <v>69</v>
      </c>
      <c r="E17" s="196">
        <f t="shared" ref="E17:E19" si="0">O17</f>
        <v>2</v>
      </c>
      <c r="F17" s="309" t="s">
        <v>910</v>
      </c>
      <c r="G17" s="310"/>
      <c r="H17" s="199" t="s">
        <v>479</v>
      </c>
      <c r="I17" s="199" t="s">
        <v>471</v>
      </c>
      <c r="N17" s="186"/>
      <c r="O17" s="186">
        <f t="shared" ref="O17:O19" si="1">SUM(P17:IV17)</f>
        <v>2</v>
      </c>
      <c r="P17" s="186">
        <f>[4]Source!I50</f>
        <v>2</v>
      </c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6"/>
      <c r="CS17" s="186"/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86"/>
      <c r="DK17" s="186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86"/>
      <c r="DW17" s="186"/>
      <c r="DX17" s="186"/>
      <c r="DY17" s="186"/>
      <c r="DZ17" s="186"/>
      <c r="EA17" s="186"/>
      <c r="EB17" s="186"/>
      <c r="EC17" s="186"/>
      <c r="ED17" s="186"/>
      <c r="EE17" s="186"/>
      <c r="EF17" s="186"/>
      <c r="EG17" s="186"/>
      <c r="EH17" s="186"/>
      <c r="EI17" s="186"/>
      <c r="EJ17" s="186"/>
      <c r="EK17" s="186"/>
      <c r="EL17" s="186"/>
      <c r="EM17" s="186"/>
      <c r="EN17" s="186"/>
      <c r="EO17" s="186"/>
      <c r="EP17" s="186"/>
      <c r="EQ17" s="186"/>
      <c r="ER17" s="186"/>
      <c r="ES17" s="186"/>
      <c r="ET17" s="186"/>
      <c r="EU17" s="186"/>
      <c r="EV17" s="186"/>
      <c r="EW17" s="186"/>
      <c r="EX17" s="186"/>
      <c r="EY17" s="186"/>
      <c r="EZ17" s="186"/>
      <c r="FA17" s="186"/>
      <c r="FB17" s="186"/>
      <c r="FC17" s="186"/>
      <c r="FD17" s="186"/>
      <c r="FE17" s="186"/>
      <c r="FF17" s="186"/>
      <c r="FG17" s="186"/>
      <c r="FH17" s="186"/>
      <c r="FI17" s="186"/>
      <c r="FJ17" s="186"/>
      <c r="FK17" s="186"/>
      <c r="FL17" s="186"/>
      <c r="FM17" s="186"/>
      <c r="FN17" s="186"/>
      <c r="FO17" s="186"/>
      <c r="FP17" s="186"/>
      <c r="FQ17" s="186"/>
      <c r="FR17" s="186"/>
      <c r="FS17" s="186"/>
      <c r="FT17" s="186"/>
      <c r="FU17" s="186"/>
      <c r="FV17" s="186"/>
      <c r="FW17" s="186"/>
      <c r="FX17" s="186"/>
      <c r="FY17" s="186"/>
      <c r="FZ17" s="186"/>
      <c r="GA17" s="186"/>
      <c r="GB17" s="186"/>
      <c r="GC17" s="186"/>
      <c r="GD17" s="186"/>
      <c r="GE17" s="186"/>
      <c r="GF17" s="186"/>
      <c r="GG17" s="186"/>
      <c r="GH17" s="186"/>
      <c r="GI17" s="186"/>
      <c r="GJ17" s="186"/>
      <c r="GK17" s="186"/>
      <c r="GL17" s="186"/>
      <c r="GM17" s="186"/>
      <c r="GN17" s="186"/>
      <c r="GO17" s="186"/>
      <c r="GP17" s="186"/>
      <c r="GQ17" s="186"/>
      <c r="GR17" s="186"/>
      <c r="GS17" s="186"/>
      <c r="GT17" s="186"/>
      <c r="GU17" s="186"/>
      <c r="GV17" s="186"/>
      <c r="GW17" s="186"/>
      <c r="GX17" s="186"/>
      <c r="GY17" s="186"/>
      <c r="GZ17" s="186"/>
      <c r="HA17" s="186"/>
      <c r="HB17" s="186"/>
      <c r="HC17" s="186"/>
      <c r="HD17" s="186"/>
      <c r="HE17" s="186"/>
      <c r="HF17" s="186"/>
      <c r="HG17" s="186"/>
      <c r="HH17" s="186"/>
      <c r="HI17" s="186"/>
      <c r="HJ17" s="186"/>
      <c r="HK17" s="186"/>
      <c r="HL17" s="186"/>
      <c r="HM17" s="186"/>
      <c r="HN17" s="186"/>
      <c r="HO17" s="186"/>
      <c r="HP17" s="186"/>
      <c r="HQ17" s="186"/>
      <c r="HR17" s="186"/>
      <c r="HS17" s="186"/>
      <c r="HT17" s="186"/>
      <c r="HU17" s="186"/>
      <c r="HV17" s="186"/>
      <c r="HW17" s="186"/>
      <c r="HX17" s="186"/>
      <c r="HY17" s="186"/>
      <c r="HZ17" s="186"/>
      <c r="IA17" s="186"/>
      <c r="IB17" s="186"/>
      <c r="IC17" s="186"/>
      <c r="ID17" s="186"/>
      <c r="IE17" s="186"/>
      <c r="IF17" s="186"/>
      <c r="IG17" s="186"/>
      <c r="IH17" s="186"/>
      <c r="II17" s="186"/>
      <c r="IJ17" s="186"/>
      <c r="IK17" s="186"/>
      <c r="IL17" s="186"/>
      <c r="IM17" s="186"/>
      <c r="IN17" s="186"/>
      <c r="IO17" s="186"/>
      <c r="IP17" s="186"/>
      <c r="IQ17" s="186"/>
      <c r="IR17" s="186"/>
      <c r="IS17" s="186"/>
      <c r="IT17" s="186"/>
      <c r="IU17" s="186"/>
    </row>
    <row r="18" spans="1:255" s="43" customFormat="1" ht="84" x14ac:dyDescent="0.2">
      <c r="A18" s="194">
        <v>3</v>
      </c>
      <c r="B18" s="195" t="s">
        <v>82</v>
      </c>
      <c r="C18" s="195" t="s">
        <v>83</v>
      </c>
      <c r="D18" s="195" t="s">
        <v>69</v>
      </c>
      <c r="E18" s="196">
        <f t="shared" si="0"/>
        <v>2</v>
      </c>
      <c r="F18" s="309" t="s">
        <v>910</v>
      </c>
      <c r="G18" s="310"/>
      <c r="H18" s="199" t="s">
        <v>478</v>
      </c>
      <c r="I18" s="199" t="s">
        <v>471</v>
      </c>
      <c r="N18" s="186"/>
      <c r="O18" s="186">
        <f t="shared" si="1"/>
        <v>2</v>
      </c>
      <c r="P18" s="186">
        <f>[4]Source!I46</f>
        <v>2</v>
      </c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  <c r="HJ18" s="186"/>
      <c r="HK18" s="186"/>
      <c r="HL18" s="186"/>
      <c r="HM18" s="186"/>
      <c r="HN18" s="186"/>
      <c r="HO18" s="186"/>
      <c r="HP18" s="186"/>
      <c r="HQ18" s="186"/>
      <c r="HR18" s="186"/>
      <c r="HS18" s="186"/>
      <c r="HT18" s="186"/>
      <c r="HU18" s="186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  <c r="IN18" s="186"/>
      <c r="IO18" s="186"/>
      <c r="IP18" s="186"/>
      <c r="IQ18" s="186"/>
      <c r="IR18" s="186"/>
      <c r="IS18" s="186"/>
      <c r="IT18" s="186"/>
      <c r="IU18" s="186"/>
    </row>
    <row r="19" spans="1:255" s="43" customFormat="1" ht="24" x14ac:dyDescent="0.2">
      <c r="A19" s="194">
        <v>7</v>
      </c>
      <c r="B19" s="195" t="s">
        <v>67</v>
      </c>
      <c r="C19" s="195" t="s">
        <v>68</v>
      </c>
      <c r="D19" s="195" t="s">
        <v>69</v>
      </c>
      <c r="E19" s="196">
        <f t="shared" si="0"/>
        <v>2</v>
      </c>
      <c r="F19" s="309" t="s">
        <v>910</v>
      </c>
      <c r="G19" s="310"/>
      <c r="H19" s="199" t="s">
        <v>476</v>
      </c>
      <c r="I19" s="199" t="s">
        <v>471</v>
      </c>
      <c r="N19" s="186"/>
      <c r="O19" s="186">
        <f t="shared" si="1"/>
        <v>2</v>
      </c>
      <c r="P19" s="186">
        <f>[4]Source!I42</f>
        <v>2</v>
      </c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86"/>
      <c r="EI19" s="186"/>
      <c r="EJ19" s="186"/>
      <c r="EK19" s="186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6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  <c r="FH19" s="186"/>
      <c r="FI19" s="186"/>
      <c r="FJ19" s="186"/>
      <c r="FK19" s="186"/>
      <c r="FL19" s="186"/>
      <c r="FM19" s="186"/>
      <c r="FN19" s="186"/>
      <c r="FO19" s="186"/>
      <c r="FP19" s="186"/>
      <c r="FQ19" s="186"/>
      <c r="FR19" s="186"/>
      <c r="FS19" s="186"/>
      <c r="FT19" s="186"/>
      <c r="FU19" s="186"/>
      <c r="FV19" s="186"/>
      <c r="FW19" s="186"/>
      <c r="FX19" s="186"/>
      <c r="FY19" s="186"/>
      <c r="FZ19" s="186"/>
      <c r="GA19" s="186"/>
      <c r="GB19" s="186"/>
      <c r="GC19" s="186"/>
      <c r="GD19" s="186"/>
      <c r="GE19" s="186"/>
      <c r="GF19" s="186"/>
      <c r="GG19" s="186"/>
      <c r="GH19" s="186"/>
      <c r="GI19" s="186"/>
      <c r="GJ19" s="186"/>
      <c r="GK19" s="186"/>
      <c r="GL19" s="186"/>
      <c r="GM19" s="186"/>
      <c r="GN19" s="186"/>
      <c r="GO19" s="186"/>
      <c r="GP19" s="186"/>
      <c r="GQ19" s="186"/>
      <c r="GR19" s="186"/>
      <c r="GS19" s="186"/>
      <c r="GT19" s="186"/>
      <c r="GU19" s="186"/>
      <c r="GV19" s="186"/>
      <c r="GW19" s="186"/>
      <c r="GX19" s="186"/>
      <c r="GY19" s="186"/>
      <c r="GZ19" s="186"/>
      <c r="HA19" s="186"/>
      <c r="HB19" s="186"/>
      <c r="HC19" s="186"/>
      <c r="HD19" s="186"/>
      <c r="HE19" s="186"/>
      <c r="HF19" s="186"/>
      <c r="HG19" s="186"/>
      <c r="HH19" s="186"/>
      <c r="HI19" s="186"/>
      <c r="HJ19" s="186"/>
      <c r="HK19" s="186"/>
      <c r="HL19" s="186"/>
      <c r="HM19" s="186"/>
      <c r="HN19" s="186"/>
      <c r="HO19" s="186"/>
      <c r="HP19" s="186"/>
      <c r="HQ19" s="186"/>
      <c r="HR19" s="186"/>
      <c r="HS19" s="186"/>
      <c r="HT19" s="186"/>
      <c r="HU19" s="186"/>
      <c r="HV19" s="186"/>
      <c r="HW19" s="186"/>
      <c r="HX19" s="186"/>
      <c r="HY19" s="186"/>
      <c r="HZ19" s="186"/>
      <c r="IA19" s="186"/>
      <c r="IB19" s="186"/>
      <c r="IC19" s="186"/>
      <c r="ID19" s="186"/>
      <c r="IE19" s="186"/>
      <c r="IF19" s="186"/>
      <c r="IG19" s="186"/>
      <c r="IH19" s="186"/>
      <c r="II19" s="186"/>
      <c r="IJ19" s="186"/>
      <c r="IK19" s="186"/>
      <c r="IL19" s="186"/>
      <c r="IM19" s="186"/>
      <c r="IN19" s="186"/>
      <c r="IO19" s="186"/>
      <c r="IP19" s="186"/>
      <c r="IQ19" s="186"/>
      <c r="IR19" s="186"/>
      <c r="IS19" s="186"/>
      <c r="IT19" s="186"/>
      <c r="IU19" s="186"/>
    </row>
  </sheetData>
  <sheetProtection sheet="1" objects="1" scenarios="1"/>
  <mergeCells count="11">
    <mergeCell ref="A1:G1"/>
    <mergeCell ref="A2:G2"/>
    <mergeCell ref="F17:G17"/>
    <mergeCell ref="F18:G18"/>
    <mergeCell ref="F19:G19"/>
    <mergeCell ref="A3:G3"/>
    <mergeCell ref="A4:G4"/>
    <mergeCell ref="A5:G5"/>
    <mergeCell ref="B6:G6"/>
    <mergeCell ref="B7:G7"/>
    <mergeCell ref="B8:G8"/>
  </mergeCells>
  <pageMargins left="0.7" right="0.7" top="0.75" bottom="0.75" header="0.3" footer="0.3"/>
  <pageSetup paperSize="9" orientation="portrait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2"/>
  <sheetViews>
    <sheetView topLeftCell="A28" workbookViewId="0">
      <selection activeCell="H28" sqref="H1:I1048576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hidden="1" customWidth="1"/>
    <col min="9" max="9" width="8.7109375" hidden="1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265" customFormat="1" ht="11.25" x14ac:dyDescent="0.2">
      <c r="A1" s="268" t="s">
        <v>300</v>
      </c>
      <c r="B1" s="268"/>
      <c r="C1" s="268"/>
      <c r="D1" s="268"/>
      <c r="E1" s="268"/>
      <c r="F1" s="268"/>
      <c r="G1" s="268"/>
    </row>
    <row r="2" spans="1:255" x14ac:dyDescent="0.2">
      <c r="C2" s="13" t="s">
        <v>915</v>
      </c>
    </row>
    <row r="3" spans="1:255" x14ac:dyDescent="0.2">
      <c r="A3" s="275"/>
      <c r="B3" s="275"/>
      <c r="C3" s="275"/>
      <c r="D3" s="275"/>
      <c r="E3" s="275"/>
      <c r="F3" s="275"/>
      <c r="G3" s="275"/>
    </row>
    <row r="4" spans="1:255" ht="18.75" x14ac:dyDescent="0.3">
      <c r="A4" s="276" t="s">
        <v>447</v>
      </c>
      <c r="B4" s="276"/>
      <c r="C4" s="276"/>
      <c r="D4" s="276"/>
      <c r="E4" s="276"/>
      <c r="F4" s="276"/>
      <c r="G4" s="276"/>
    </row>
    <row r="5" spans="1:255" x14ac:dyDescent="0.2">
      <c r="A5" s="277" t="s">
        <v>448</v>
      </c>
      <c r="B5" s="277"/>
      <c r="C5" s="277"/>
      <c r="D5" s="277"/>
      <c r="E5" s="277"/>
      <c r="F5" s="277"/>
      <c r="G5" s="277"/>
    </row>
    <row r="6" spans="1:255" x14ac:dyDescent="0.2">
      <c r="A6" s="277"/>
      <c r="B6" s="277"/>
      <c r="C6" s="277"/>
      <c r="D6" s="277"/>
      <c r="E6" s="277"/>
      <c r="F6" s="277"/>
      <c r="G6" s="277"/>
    </row>
    <row r="7" spans="1:255" ht="47.25" x14ac:dyDescent="0.25">
      <c r="A7" s="14" t="s">
        <v>449</v>
      </c>
      <c r="B7" s="311" t="s">
        <v>559</v>
      </c>
      <c r="C7" s="311"/>
      <c r="D7" s="311"/>
      <c r="E7" s="311"/>
      <c r="F7" s="311"/>
      <c r="G7" s="311"/>
      <c r="BS7" s="181" t="str">
        <f>B7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(поз.1))</v>
      </c>
      <c r="IU7" s="23"/>
    </row>
    <row r="8" spans="1:255" ht="47.25" x14ac:dyDescent="0.25">
      <c r="A8" s="14" t="s">
        <v>313</v>
      </c>
      <c r="B8" s="278" t="s">
        <v>559</v>
      </c>
      <c r="C8" s="278"/>
      <c r="D8" s="278"/>
      <c r="E8" s="278"/>
      <c r="F8" s="278"/>
      <c r="G8" s="278"/>
      <c r="BS8" s="181" t="str">
        <f>B8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(поз.1))</v>
      </c>
      <c r="IU8" s="23"/>
    </row>
    <row r="9" spans="1:255" x14ac:dyDescent="0.2">
      <c r="A9" s="14" t="s">
        <v>314</v>
      </c>
      <c r="B9" s="312" t="s">
        <v>688</v>
      </c>
      <c r="C9" s="313"/>
      <c r="D9" s="313"/>
      <c r="E9" s="313"/>
      <c r="F9" s="313"/>
      <c r="G9" s="313"/>
      <c r="BT9" s="22">
        <f>C9</f>
        <v>0</v>
      </c>
      <c r="IU9" s="23"/>
    </row>
    <row r="11" spans="1:255" x14ac:dyDescent="0.2">
      <c r="A11" s="14" t="s">
        <v>328</v>
      </c>
    </row>
    <row r="12" spans="1:255" x14ac:dyDescent="0.2">
      <c r="A12" s="14" t="s">
        <v>561</v>
      </c>
    </row>
    <row r="13" spans="1:255" x14ac:dyDescent="0.2">
      <c r="A13" s="182" t="s">
        <v>450</v>
      </c>
      <c r="B13" s="182" t="s">
        <v>452</v>
      </c>
      <c r="C13" s="182" t="s">
        <v>455</v>
      </c>
      <c r="D13" s="182" t="s">
        <v>457</v>
      </c>
      <c r="E13" s="182" t="s">
        <v>460</v>
      </c>
      <c r="F13" s="182" t="s">
        <v>462</v>
      </c>
      <c r="G13" s="182" t="s">
        <v>464</v>
      </c>
      <c r="H13" s="182" t="s">
        <v>466</v>
      </c>
      <c r="I13" s="183" t="s">
        <v>426</v>
      </c>
    </row>
    <row r="14" spans="1:255" x14ac:dyDescent="0.2">
      <c r="A14" s="200" t="s">
        <v>451</v>
      </c>
      <c r="B14" s="200" t="s">
        <v>453</v>
      </c>
      <c r="C14" s="200" t="s">
        <v>456</v>
      </c>
      <c r="D14" s="200" t="s">
        <v>458</v>
      </c>
      <c r="E14" s="200" t="s">
        <v>461</v>
      </c>
      <c r="F14" s="200" t="s">
        <v>463</v>
      </c>
      <c r="G14" s="200" t="s">
        <v>465</v>
      </c>
      <c r="H14" s="200" t="s">
        <v>467</v>
      </c>
      <c r="I14" s="200" t="s">
        <v>362</v>
      </c>
    </row>
    <row r="15" spans="1:255" x14ac:dyDescent="0.2">
      <c r="A15" s="200"/>
      <c r="B15" s="200" t="s">
        <v>454</v>
      </c>
      <c r="C15" s="200"/>
      <c r="D15" s="200" t="s">
        <v>459</v>
      </c>
      <c r="E15" s="200"/>
      <c r="F15" s="200"/>
      <c r="G15" s="200" t="s">
        <v>463</v>
      </c>
      <c r="H15" s="200" t="s">
        <v>468</v>
      </c>
      <c r="I15" s="200"/>
    </row>
    <row r="16" spans="1:255" x14ac:dyDescent="0.2">
      <c r="A16" s="200">
        <v>1</v>
      </c>
      <c r="B16" s="200">
        <v>2</v>
      </c>
      <c r="C16" s="200">
        <v>3</v>
      </c>
      <c r="D16" s="200">
        <v>4</v>
      </c>
      <c r="E16" s="200">
        <v>5</v>
      </c>
      <c r="F16" s="200">
        <v>6</v>
      </c>
      <c r="G16" s="200">
        <v>7</v>
      </c>
      <c r="H16" s="200">
        <v>8</v>
      </c>
      <c r="I16" s="200">
        <v>9</v>
      </c>
    </row>
    <row r="17" spans="1:255" x14ac:dyDescent="0.2">
      <c r="A17" s="193"/>
      <c r="B17" s="193" t="s">
        <v>469</v>
      </c>
      <c r="C17" s="193"/>
      <c r="D17" s="193"/>
      <c r="E17" s="193"/>
      <c r="F17" s="193"/>
      <c r="G17" s="190"/>
      <c r="H17" s="190"/>
      <c r="I17" s="190"/>
    </row>
    <row r="18" spans="1:255" s="43" customFormat="1" ht="24" x14ac:dyDescent="0.2">
      <c r="A18" s="194">
        <v>6</v>
      </c>
      <c r="B18" s="195" t="s">
        <v>646</v>
      </c>
      <c r="C18" s="195" t="s">
        <v>647</v>
      </c>
      <c r="D18" s="195" t="s">
        <v>606</v>
      </c>
      <c r="E18" s="196">
        <f t="shared" ref="E18:E40" si="0">O18</f>
        <v>2120</v>
      </c>
      <c r="F18" s="309" t="s">
        <v>910</v>
      </c>
      <c r="G18" s="310"/>
      <c r="H18" s="199" t="s">
        <v>689</v>
      </c>
      <c r="I18" s="199" t="s">
        <v>471</v>
      </c>
      <c r="N18" s="186"/>
      <c r="O18" s="186">
        <f t="shared" ref="O18:O40" si="1">SUM(P18:IV18)</f>
        <v>2120</v>
      </c>
      <c r="P18" s="186">
        <f>[5]Source!I81</f>
        <v>2120</v>
      </c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  <c r="HJ18" s="186"/>
      <c r="HK18" s="186"/>
      <c r="HL18" s="186"/>
      <c r="HM18" s="186"/>
      <c r="HN18" s="186"/>
      <c r="HO18" s="186"/>
      <c r="HP18" s="186"/>
      <c r="HQ18" s="186"/>
      <c r="HR18" s="186"/>
      <c r="HS18" s="186"/>
      <c r="HT18" s="186"/>
      <c r="HU18" s="186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  <c r="IN18" s="186"/>
      <c r="IO18" s="186"/>
      <c r="IP18" s="186"/>
      <c r="IQ18" s="186"/>
      <c r="IR18" s="186"/>
      <c r="IS18" s="186"/>
      <c r="IT18" s="186"/>
      <c r="IU18" s="186"/>
    </row>
    <row r="19" spans="1:255" s="43" customFormat="1" ht="24" x14ac:dyDescent="0.2">
      <c r="A19" s="194">
        <v>7</v>
      </c>
      <c r="B19" s="195" t="s">
        <v>690</v>
      </c>
      <c r="C19" s="195" t="s">
        <v>691</v>
      </c>
      <c r="D19" s="195" t="s">
        <v>69</v>
      </c>
      <c r="E19" s="196">
        <f t="shared" si="0"/>
        <v>3.06</v>
      </c>
      <c r="F19" s="309" t="s">
        <v>910</v>
      </c>
      <c r="G19" s="310"/>
      <c r="H19" s="199" t="s">
        <v>692</v>
      </c>
      <c r="I19" s="199" t="s">
        <v>471</v>
      </c>
      <c r="N19" s="186"/>
      <c r="O19" s="186">
        <f t="shared" si="1"/>
        <v>3.06</v>
      </c>
      <c r="P19" s="186">
        <f>[5]Source!I1207</f>
        <v>3.06</v>
      </c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86"/>
      <c r="EI19" s="186"/>
      <c r="EJ19" s="186"/>
      <c r="EK19" s="186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6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  <c r="FH19" s="186"/>
      <c r="FI19" s="186"/>
      <c r="FJ19" s="186"/>
      <c r="FK19" s="186"/>
      <c r="FL19" s="186"/>
      <c r="FM19" s="186"/>
      <c r="FN19" s="186"/>
      <c r="FO19" s="186"/>
      <c r="FP19" s="186"/>
      <c r="FQ19" s="186"/>
      <c r="FR19" s="186"/>
      <c r="FS19" s="186"/>
      <c r="FT19" s="186"/>
      <c r="FU19" s="186"/>
      <c r="FV19" s="186"/>
      <c r="FW19" s="186"/>
      <c r="FX19" s="186"/>
      <c r="FY19" s="186"/>
      <c r="FZ19" s="186"/>
      <c r="GA19" s="186"/>
      <c r="GB19" s="186"/>
      <c r="GC19" s="186"/>
      <c r="GD19" s="186"/>
      <c r="GE19" s="186"/>
      <c r="GF19" s="186"/>
      <c r="GG19" s="186"/>
      <c r="GH19" s="186"/>
      <c r="GI19" s="186"/>
      <c r="GJ19" s="186"/>
      <c r="GK19" s="186"/>
      <c r="GL19" s="186"/>
      <c r="GM19" s="186"/>
      <c r="GN19" s="186"/>
      <c r="GO19" s="186"/>
      <c r="GP19" s="186"/>
      <c r="GQ19" s="186"/>
      <c r="GR19" s="186"/>
      <c r="GS19" s="186"/>
      <c r="GT19" s="186"/>
      <c r="GU19" s="186"/>
      <c r="GV19" s="186"/>
      <c r="GW19" s="186"/>
      <c r="GX19" s="186"/>
      <c r="GY19" s="186"/>
      <c r="GZ19" s="186"/>
      <c r="HA19" s="186"/>
      <c r="HB19" s="186"/>
      <c r="HC19" s="186"/>
      <c r="HD19" s="186"/>
      <c r="HE19" s="186"/>
      <c r="HF19" s="186"/>
      <c r="HG19" s="186"/>
      <c r="HH19" s="186"/>
      <c r="HI19" s="186"/>
      <c r="HJ19" s="186"/>
      <c r="HK19" s="186"/>
      <c r="HL19" s="186"/>
      <c r="HM19" s="186"/>
      <c r="HN19" s="186"/>
      <c r="HO19" s="186"/>
      <c r="HP19" s="186"/>
      <c r="HQ19" s="186"/>
      <c r="HR19" s="186"/>
      <c r="HS19" s="186"/>
      <c r="HT19" s="186"/>
      <c r="HU19" s="186"/>
      <c r="HV19" s="186"/>
      <c r="HW19" s="186"/>
      <c r="HX19" s="186"/>
      <c r="HY19" s="186"/>
      <c r="HZ19" s="186"/>
      <c r="IA19" s="186"/>
      <c r="IB19" s="186"/>
      <c r="IC19" s="186"/>
      <c r="ID19" s="186"/>
      <c r="IE19" s="186"/>
      <c r="IF19" s="186"/>
      <c r="IG19" s="186"/>
      <c r="IH19" s="186"/>
      <c r="II19" s="186"/>
      <c r="IJ19" s="186"/>
      <c r="IK19" s="186"/>
      <c r="IL19" s="186"/>
      <c r="IM19" s="186"/>
      <c r="IN19" s="186"/>
      <c r="IO19" s="186"/>
      <c r="IP19" s="186"/>
      <c r="IQ19" s="186"/>
      <c r="IR19" s="186"/>
      <c r="IS19" s="186"/>
      <c r="IT19" s="186"/>
      <c r="IU19" s="186"/>
    </row>
    <row r="20" spans="1:255" s="43" customFormat="1" ht="24" x14ac:dyDescent="0.2">
      <c r="A20" s="194">
        <v>11</v>
      </c>
      <c r="B20" s="195" t="s">
        <v>544</v>
      </c>
      <c r="C20" s="195" t="s">
        <v>543</v>
      </c>
      <c r="D20" s="195" t="s">
        <v>542</v>
      </c>
      <c r="E20" s="196">
        <f t="shared" si="0"/>
        <v>5.9325000000000001</v>
      </c>
      <c r="F20" s="309" t="s">
        <v>910</v>
      </c>
      <c r="G20" s="310"/>
      <c r="H20" s="199" t="s">
        <v>693</v>
      </c>
      <c r="I20" s="199" t="s">
        <v>471</v>
      </c>
      <c r="N20" s="186"/>
      <c r="O20" s="186">
        <f t="shared" si="1"/>
        <v>5.9325000000000001</v>
      </c>
      <c r="P20" s="186">
        <f>[5]Source!I844</f>
        <v>4.9349999999999996</v>
      </c>
      <c r="Q20" s="186">
        <f>[5]Source!I911</f>
        <v>0.99750000000000016</v>
      </c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186"/>
      <c r="CQ20" s="186"/>
      <c r="CR20" s="186"/>
      <c r="CS20" s="186"/>
      <c r="CT20" s="186"/>
      <c r="CU20" s="186"/>
      <c r="CV20" s="186"/>
      <c r="CW20" s="186"/>
      <c r="CX20" s="186"/>
      <c r="CY20" s="186"/>
      <c r="CZ20" s="186"/>
      <c r="DA20" s="186"/>
      <c r="DB20" s="186"/>
      <c r="DC20" s="186"/>
      <c r="DD20" s="186"/>
      <c r="DE20" s="186"/>
      <c r="DF20" s="186"/>
      <c r="DG20" s="186"/>
      <c r="DH20" s="186"/>
      <c r="DI20" s="186"/>
      <c r="DJ20" s="186"/>
      <c r="DK20" s="186"/>
      <c r="DL20" s="186"/>
      <c r="DM20" s="186"/>
      <c r="DN20" s="186"/>
      <c r="DO20" s="186"/>
      <c r="DP20" s="186"/>
      <c r="DQ20" s="186"/>
      <c r="DR20" s="186"/>
      <c r="DS20" s="186"/>
      <c r="DT20" s="186"/>
      <c r="DU20" s="186"/>
      <c r="DV20" s="186"/>
      <c r="DW20" s="186"/>
      <c r="DX20" s="186"/>
      <c r="DY20" s="186"/>
      <c r="DZ20" s="186"/>
      <c r="EA20" s="186"/>
      <c r="EB20" s="186"/>
      <c r="EC20" s="186"/>
      <c r="ED20" s="186"/>
      <c r="EE20" s="186"/>
      <c r="EF20" s="186"/>
      <c r="EG20" s="186"/>
      <c r="EH20" s="186"/>
      <c r="EI20" s="186"/>
      <c r="EJ20" s="186"/>
      <c r="EK20" s="186"/>
      <c r="EL20" s="186"/>
      <c r="EM20" s="186"/>
      <c r="EN20" s="186"/>
      <c r="EO20" s="186"/>
      <c r="EP20" s="186"/>
      <c r="EQ20" s="186"/>
      <c r="ER20" s="186"/>
      <c r="ES20" s="186"/>
      <c r="ET20" s="186"/>
      <c r="EU20" s="186"/>
      <c r="EV20" s="186"/>
      <c r="EW20" s="186"/>
      <c r="EX20" s="186"/>
      <c r="EY20" s="186"/>
      <c r="EZ20" s="186"/>
      <c r="FA20" s="186"/>
      <c r="FB20" s="186"/>
      <c r="FC20" s="186"/>
      <c r="FD20" s="186"/>
      <c r="FE20" s="186"/>
      <c r="FF20" s="186"/>
      <c r="FG20" s="186"/>
      <c r="FH20" s="186"/>
      <c r="FI20" s="186"/>
      <c r="FJ20" s="186"/>
      <c r="FK20" s="186"/>
      <c r="FL20" s="186"/>
      <c r="FM20" s="186"/>
      <c r="FN20" s="186"/>
      <c r="FO20" s="186"/>
      <c r="FP20" s="186"/>
      <c r="FQ20" s="186"/>
      <c r="FR20" s="186"/>
      <c r="FS20" s="186"/>
      <c r="FT20" s="186"/>
      <c r="FU20" s="186"/>
      <c r="FV20" s="186"/>
      <c r="FW20" s="186"/>
      <c r="FX20" s="186"/>
      <c r="FY20" s="186"/>
      <c r="FZ20" s="186"/>
      <c r="GA20" s="186"/>
      <c r="GB20" s="186"/>
      <c r="GC20" s="186"/>
      <c r="GD20" s="186"/>
      <c r="GE20" s="186"/>
      <c r="GF20" s="186"/>
      <c r="GG20" s="186"/>
      <c r="GH20" s="186"/>
      <c r="GI20" s="186"/>
      <c r="GJ20" s="186"/>
      <c r="GK20" s="186"/>
      <c r="GL20" s="186"/>
      <c r="GM20" s="186"/>
      <c r="GN20" s="186"/>
      <c r="GO20" s="186"/>
      <c r="GP20" s="186"/>
      <c r="GQ20" s="186"/>
      <c r="GR20" s="186"/>
      <c r="GS20" s="186"/>
      <c r="GT20" s="186"/>
      <c r="GU20" s="186"/>
      <c r="GV20" s="186"/>
      <c r="GW20" s="186"/>
      <c r="GX20" s="186"/>
      <c r="GY20" s="186"/>
      <c r="GZ20" s="186"/>
      <c r="HA20" s="186"/>
      <c r="HB20" s="186"/>
      <c r="HC20" s="186"/>
      <c r="HD20" s="186"/>
      <c r="HE20" s="186"/>
      <c r="HF20" s="186"/>
      <c r="HG20" s="186"/>
      <c r="HH20" s="186"/>
      <c r="HI20" s="186"/>
      <c r="HJ20" s="186"/>
      <c r="HK20" s="186"/>
      <c r="HL20" s="186"/>
      <c r="HM20" s="186"/>
      <c r="HN20" s="186"/>
      <c r="HO20" s="186"/>
      <c r="HP20" s="186"/>
      <c r="HQ20" s="186"/>
      <c r="HR20" s="186"/>
      <c r="HS20" s="186"/>
      <c r="HT20" s="186"/>
      <c r="HU20" s="186"/>
      <c r="HV20" s="186"/>
      <c r="HW20" s="186"/>
      <c r="HX20" s="186"/>
      <c r="HY20" s="186"/>
      <c r="HZ20" s="186"/>
      <c r="IA20" s="186"/>
      <c r="IB20" s="186"/>
      <c r="IC20" s="186"/>
      <c r="ID20" s="186"/>
      <c r="IE20" s="186"/>
      <c r="IF20" s="186"/>
      <c r="IG20" s="186"/>
      <c r="IH20" s="186"/>
      <c r="II20" s="186"/>
      <c r="IJ20" s="186"/>
      <c r="IK20" s="186"/>
      <c r="IL20" s="186"/>
      <c r="IM20" s="186"/>
      <c r="IN20" s="186"/>
      <c r="IO20" s="186"/>
      <c r="IP20" s="186"/>
      <c r="IQ20" s="186"/>
      <c r="IR20" s="186"/>
      <c r="IS20" s="186"/>
      <c r="IT20" s="186"/>
      <c r="IU20" s="186"/>
    </row>
    <row r="21" spans="1:255" s="43" customFormat="1" ht="24" x14ac:dyDescent="0.2">
      <c r="A21" s="194">
        <v>12</v>
      </c>
      <c r="B21" s="195" t="s">
        <v>694</v>
      </c>
      <c r="C21" s="195" t="s">
        <v>695</v>
      </c>
      <c r="D21" s="195" t="s">
        <v>75</v>
      </c>
      <c r="E21" s="196">
        <f t="shared" si="0"/>
        <v>8.1780000000000008</v>
      </c>
      <c r="F21" s="309" t="s">
        <v>910</v>
      </c>
      <c r="G21" s="310"/>
      <c r="H21" s="199" t="s">
        <v>696</v>
      </c>
      <c r="I21" s="199" t="s">
        <v>471</v>
      </c>
      <c r="N21" s="186"/>
      <c r="O21" s="186">
        <f t="shared" si="1"/>
        <v>8.1780000000000008</v>
      </c>
      <c r="P21" s="186">
        <f>[5]Source!I860</f>
        <v>8.1780000000000008</v>
      </c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86"/>
      <c r="GP21" s="186"/>
      <c r="GQ21" s="186"/>
      <c r="GR21" s="186"/>
      <c r="GS21" s="186"/>
      <c r="GT21" s="186"/>
      <c r="GU21" s="186"/>
      <c r="GV21" s="186"/>
      <c r="GW21" s="186"/>
      <c r="GX21" s="186"/>
      <c r="GY21" s="186"/>
      <c r="GZ21" s="186"/>
      <c r="HA21" s="186"/>
      <c r="HB21" s="186"/>
      <c r="HC21" s="186"/>
      <c r="HD21" s="186"/>
      <c r="HE21" s="186"/>
      <c r="HF21" s="186"/>
      <c r="HG21" s="186"/>
      <c r="HH21" s="186"/>
      <c r="HI21" s="186"/>
      <c r="HJ21" s="186"/>
      <c r="HK21" s="186"/>
      <c r="HL21" s="186"/>
      <c r="HM21" s="186"/>
      <c r="HN21" s="186"/>
      <c r="HO21" s="186"/>
      <c r="HP21" s="186"/>
      <c r="HQ21" s="186"/>
      <c r="HR21" s="186"/>
      <c r="HS21" s="186"/>
      <c r="HT21" s="186"/>
      <c r="HU21" s="186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  <c r="IN21" s="186"/>
      <c r="IO21" s="186"/>
      <c r="IP21" s="186"/>
      <c r="IQ21" s="186"/>
      <c r="IR21" s="186"/>
      <c r="IS21" s="186"/>
      <c r="IT21" s="186"/>
      <c r="IU21" s="186"/>
    </row>
    <row r="22" spans="1:255" s="43" customFormat="1" ht="24" x14ac:dyDescent="0.2">
      <c r="A22" s="194">
        <v>15</v>
      </c>
      <c r="B22" s="195" t="s">
        <v>697</v>
      </c>
      <c r="C22" s="195" t="s">
        <v>698</v>
      </c>
      <c r="D22" s="195" t="s">
        <v>537</v>
      </c>
      <c r="E22" s="196">
        <f t="shared" si="0"/>
        <v>320.53500000000003</v>
      </c>
      <c r="F22" s="309" t="s">
        <v>910</v>
      </c>
      <c r="G22" s="310"/>
      <c r="H22" s="199" t="s">
        <v>699</v>
      </c>
      <c r="I22" s="199" t="s">
        <v>471</v>
      </c>
      <c r="N22" s="186"/>
      <c r="O22" s="186">
        <f t="shared" si="1"/>
        <v>320.53500000000003</v>
      </c>
      <c r="P22" s="186">
        <f>[5]Source!I795</f>
        <v>320.53500000000003</v>
      </c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</row>
    <row r="23" spans="1:255" s="43" customFormat="1" ht="24" x14ac:dyDescent="0.2">
      <c r="A23" s="194">
        <v>16</v>
      </c>
      <c r="B23" s="195" t="s">
        <v>697</v>
      </c>
      <c r="C23" s="195" t="s">
        <v>700</v>
      </c>
      <c r="D23" s="195" t="s">
        <v>537</v>
      </c>
      <c r="E23" s="196">
        <f t="shared" si="0"/>
        <v>307.96499999999997</v>
      </c>
      <c r="F23" s="309" t="s">
        <v>910</v>
      </c>
      <c r="G23" s="310"/>
      <c r="H23" s="199" t="s">
        <v>701</v>
      </c>
      <c r="I23" s="199" t="s">
        <v>471</v>
      </c>
      <c r="N23" s="186"/>
      <c r="O23" s="186">
        <f t="shared" si="1"/>
        <v>307.96499999999997</v>
      </c>
      <c r="P23" s="186">
        <f>[5]Source!I793</f>
        <v>307.96499999999997</v>
      </c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  <c r="CP23" s="186"/>
      <c r="CQ23" s="186"/>
      <c r="CR23" s="186"/>
      <c r="CS23" s="186"/>
      <c r="CT23" s="186"/>
      <c r="CU23" s="186"/>
      <c r="CV23" s="186"/>
      <c r="CW23" s="186"/>
      <c r="CX23" s="186"/>
      <c r="CY23" s="186"/>
      <c r="CZ23" s="186"/>
      <c r="DA23" s="186"/>
      <c r="DB23" s="186"/>
      <c r="DC23" s="186"/>
      <c r="DD23" s="186"/>
      <c r="DE23" s="186"/>
      <c r="DF23" s="186"/>
      <c r="DG23" s="186"/>
      <c r="DH23" s="186"/>
      <c r="DI23" s="186"/>
      <c r="DJ23" s="186"/>
      <c r="DK23" s="186"/>
      <c r="DL23" s="186"/>
      <c r="DM23" s="186"/>
      <c r="DN23" s="186"/>
      <c r="DO23" s="186"/>
      <c r="DP23" s="186"/>
      <c r="DQ23" s="186"/>
      <c r="DR23" s="186"/>
      <c r="DS23" s="186"/>
      <c r="DT23" s="186"/>
      <c r="DU23" s="186"/>
      <c r="DV23" s="186"/>
      <c r="DW23" s="186"/>
      <c r="DX23" s="186"/>
      <c r="DY23" s="186"/>
      <c r="DZ23" s="186"/>
      <c r="EA23" s="186"/>
      <c r="EB23" s="186"/>
      <c r="EC23" s="186"/>
      <c r="ED23" s="186"/>
      <c r="EE23" s="186"/>
      <c r="EF23" s="186"/>
      <c r="EG23" s="186"/>
      <c r="EH23" s="186"/>
      <c r="EI23" s="186"/>
      <c r="EJ23" s="186"/>
      <c r="EK23" s="186"/>
      <c r="EL23" s="186"/>
      <c r="EM23" s="186"/>
      <c r="EN23" s="186"/>
      <c r="EO23" s="186"/>
      <c r="EP23" s="186"/>
      <c r="EQ23" s="186"/>
      <c r="ER23" s="186"/>
      <c r="ES23" s="186"/>
      <c r="ET23" s="186"/>
      <c r="EU23" s="186"/>
      <c r="EV23" s="186"/>
      <c r="EW23" s="186"/>
      <c r="EX23" s="186"/>
      <c r="EY23" s="186"/>
      <c r="EZ23" s="186"/>
      <c r="FA23" s="186"/>
      <c r="FB23" s="186"/>
      <c r="FC23" s="186"/>
      <c r="FD23" s="186"/>
      <c r="FE23" s="186"/>
      <c r="FF23" s="186"/>
      <c r="FG23" s="186"/>
      <c r="FH23" s="186"/>
      <c r="FI23" s="186"/>
      <c r="FJ23" s="186"/>
      <c r="FK23" s="186"/>
      <c r="FL23" s="186"/>
      <c r="FM23" s="186"/>
      <c r="FN23" s="186"/>
      <c r="FO23" s="186"/>
      <c r="FP23" s="186"/>
      <c r="FQ23" s="186"/>
      <c r="FR23" s="186"/>
      <c r="FS23" s="186"/>
      <c r="FT23" s="186"/>
      <c r="FU23" s="186"/>
      <c r="FV23" s="186"/>
      <c r="FW23" s="186"/>
      <c r="FX23" s="186"/>
      <c r="FY23" s="186"/>
      <c r="FZ23" s="186"/>
      <c r="GA23" s="186"/>
      <c r="GB23" s="186"/>
      <c r="GC23" s="186"/>
      <c r="GD23" s="186"/>
      <c r="GE23" s="186"/>
      <c r="GF23" s="186"/>
      <c r="GG23" s="186"/>
      <c r="GH23" s="186"/>
      <c r="GI23" s="186"/>
      <c r="GJ23" s="186"/>
      <c r="GK23" s="186"/>
      <c r="GL23" s="186"/>
      <c r="GM23" s="186"/>
      <c r="GN23" s="186"/>
      <c r="GO23" s="186"/>
      <c r="GP23" s="186"/>
      <c r="GQ23" s="186"/>
      <c r="GR23" s="186"/>
      <c r="GS23" s="186"/>
      <c r="GT23" s="186"/>
      <c r="GU23" s="186"/>
      <c r="GV23" s="186"/>
      <c r="GW23" s="186"/>
      <c r="GX23" s="186"/>
      <c r="GY23" s="186"/>
      <c r="GZ23" s="186"/>
      <c r="HA23" s="186"/>
      <c r="HB23" s="186"/>
      <c r="HC23" s="186"/>
      <c r="HD23" s="186"/>
      <c r="HE23" s="186"/>
      <c r="HF23" s="186"/>
      <c r="HG23" s="186"/>
      <c r="HH23" s="186"/>
      <c r="HI23" s="186"/>
      <c r="HJ23" s="186"/>
      <c r="HK23" s="186"/>
      <c r="HL23" s="186"/>
      <c r="HM23" s="186"/>
      <c r="HN23" s="186"/>
      <c r="HO23" s="186"/>
      <c r="HP23" s="186"/>
      <c r="HQ23" s="186"/>
      <c r="HR23" s="186"/>
      <c r="HS23" s="186"/>
      <c r="HT23" s="186"/>
      <c r="HU23" s="186"/>
      <c r="HV23" s="186"/>
      <c r="HW23" s="186"/>
      <c r="HX23" s="186"/>
      <c r="HY23" s="186"/>
      <c r="HZ23" s="186"/>
      <c r="IA23" s="186"/>
      <c r="IB23" s="186"/>
      <c r="IC23" s="186"/>
      <c r="ID23" s="186"/>
      <c r="IE23" s="186"/>
      <c r="IF23" s="186"/>
      <c r="IG23" s="186"/>
      <c r="IH23" s="186"/>
      <c r="II23" s="186"/>
      <c r="IJ23" s="186"/>
      <c r="IK23" s="186"/>
      <c r="IL23" s="186"/>
      <c r="IM23" s="186"/>
      <c r="IN23" s="186"/>
      <c r="IO23" s="186"/>
      <c r="IP23" s="186"/>
      <c r="IQ23" s="186"/>
      <c r="IR23" s="186"/>
      <c r="IS23" s="186"/>
      <c r="IT23" s="186"/>
      <c r="IU23" s="186"/>
    </row>
    <row r="24" spans="1:255" s="43" customFormat="1" ht="24" x14ac:dyDescent="0.2">
      <c r="A24" s="194">
        <v>17</v>
      </c>
      <c r="B24" s="195" t="s">
        <v>702</v>
      </c>
      <c r="C24" s="195" t="s">
        <v>703</v>
      </c>
      <c r="D24" s="195" t="s">
        <v>69</v>
      </c>
      <c r="E24" s="196">
        <f t="shared" si="0"/>
        <v>10.592696999999999</v>
      </c>
      <c r="F24" s="309" t="s">
        <v>910</v>
      </c>
      <c r="G24" s="310"/>
      <c r="H24" s="199" t="s">
        <v>704</v>
      </c>
      <c r="I24" s="199" t="s">
        <v>471</v>
      </c>
      <c r="N24" s="186"/>
      <c r="O24" s="186">
        <f t="shared" si="1"/>
        <v>10.592696999999999</v>
      </c>
      <c r="P24" s="186">
        <f>[5]Source!I799</f>
        <v>10.592696999999999</v>
      </c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  <c r="CP24" s="186"/>
      <c r="CQ24" s="186"/>
      <c r="CR24" s="186"/>
      <c r="CS24" s="186"/>
      <c r="CT24" s="186"/>
      <c r="CU24" s="186"/>
      <c r="CV24" s="186"/>
      <c r="CW24" s="186"/>
      <c r="CX24" s="186"/>
      <c r="CY24" s="186"/>
      <c r="CZ24" s="186"/>
      <c r="DA24" s="186"/>
      <c r="DB24" s="186"/>
      <c r="DC24" s="186"/>
      <c r="DD24" s="186"/>
      <c r="DE24" s="186"/>
      <c r="DF24" s="186"/>
      <c r="DG24" s="186"/>
      <c r="DH24" s="186"/>
      <c r="DI24" s="186"/>
      <c r="DJ24" s="186"/>
      <c r="DK24" s="186"/>
      <c r="DL24" s="186"/>
      <c r="DM24" s="186"/>
      <c r="DN24" s="186"/>
      <c r="DO24" s="186"/>
      <c r="DP24" s="186"/>
      <c r="DQ24" s="186"/>
      <c r="DR24" s="186"/>
      <c r="DS24" s="186"/>
      <c r="DT24" s="186"/>
      <c r="DU24" s="186"/>
      <c r="DV24" s="186"/>
      <c r="DW24" s="186"/>
      <c r="DX24" s="186"/>
      <c r="DY24" s="186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6"/>
      <c r="EK24" s="186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6"/>
      <c r="EW24" s="186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6"/>
      <c r="FI24" s="186"/>
      <c r="FJ24" s="186"/>
      <c r="FK24" s="186"/>
      <c r="FL24" s="186"/>
      <c r="FM24" s="186"/>
      <c r="FN24" s="186"/>
      <c r="FO24" s="186"/>
      <c r="FP24" s="186"/>
      <c r="FQ24" s="186"/>
      <c r="FR24" s="186"/>
      <c r="FS24" s="186"/>
      <c r="FT24" s="186"/>
      <c r="FU24" s="186"/>
      <c r="FV24" s="186"/>
      <c r="FW24" s="186"/>
      <c r="FX24" s="186"/>
      <c r="FY24" s="186"/>
      <c r="FZ24" s="186"/>
      <c r="GA24" s="186"/>
      <c r="GB24" s="186"/>
      <c r="GC24" s="186"/>
      <c r="GD24" s="186"/>
      <c r="GE24" s="186"/>
      <c r="GF24" s="186"/>
      <c r="GG24" s="186"/>
      <c r="GH24" s="186"/>
      <c r="GI24" s="186"/>
      <c r="GJ24" s="186"/>
      <c r="GK24" s="186"/>
      <c r="GL24" s="186"/>
      <c r="GM24" s="186"/>
      <c r="GN24" s="186"/>
      <c r="GO24" s="186"/>
      <c r="GP24" s="186"/>
      <c r="GQ24" s="186"/>
      <c r="GR24" s="186"/>
      <c r="GS24" s="186"/>
      <c r="GT24" s="186"/>
      <c r="GU24" s="186"/>
      <c r="GV24" s="186"/>
      <c r="GW24" s="186"/>
      <c r="GX24" s="186"/>
      <c r="GY24" s="186"/>
      <c r="GZ24" s="186"/>
      <c r="HA24" s="186"/>
      <c r="HB24" s="186"/>
      <c r="HC24" s="186"/>
      <c r="HD24" s="186"/>
      <c r="HE24" s="186"/>
      <c r="HF24" s="186"/>
      <c r="HG24" s="186"/>
      <c r="HH24" s="186"/>
      <c r="HI24" s="186"/>
      <c r="HJ24" s="186"/>
      <c r="HK24" s="186"/>
      <c r="HL24" s="186"/>
      <c r="HM24" s="186"/>
      <c r="HN24" s="186"/>
      <c r="HO24" s="186"/>
      <c r="HP24" s="186"/>
      <c r="HQ24" s="186"/>
      <c r="HR24" s="186"/>
      <c r="HS24" s="186"/>
      <c r="HT24" s="186"/>
      <c r="HU24" s="186"/>
      <c r="HV24" s="186"/>
      <c r="HW24" s="186"/>
      <c r="HX24" s="186"/>
      <c r="HY24" s="186"/>
      <c r="HZ24" s="186"/>
      <c r="IA24" s="186"/>
      <c r="IB24" s="186"/>
      <c r="IC24" s="186"/>
      <c r="ID24" s="186"/>
      <c r="IE24" s="186"/>
      <c r="IF24" s="186"/>
      <c r="IG24" s="186"/>
      <c r="IH24" s="186"/>
      <c r="II24" s="186"/>
      <c r="IJ24" s="186"/>
      <c r="IK24" s="186"/>
      <c r="IL24" s="186"/>
      <c r="IM24" s="186"/>
      <c r="IN24" s="186"/>
      <c r="IO24" s="186"/>
      <c r="IP24" s="186"/>
      <c r="IQ24" s="186"/>
      <c r="IR24" s="186"/>
      <c r="IS24" s="186"/>
      <c r="IT24" s="186"/>
      <c r="IU24" s="186"/>
    </row>
    <row r="25" spans="1:255" s="43" customFormat="1" ht="24" x14ac:dyDescent="0.2">
      <c r="A25" s="194">
        <v>18</v>
      </c>
      <c r="B25" s="195" t="s">
        <v>705</v>
      </c>
      <c r="C25" s="195" t="s">
        <v>706</v>
      </c>
      <c r="D25" s="195" t="s">
        <v>551</v>
      </c>
      <c r="E25" s="196">
        <f t="shared" si="0"/>
        <v>94</v>
      </c>
      <c r="F25" s="309" t="s">
        <v>910</v>
      </c>
      <c r="G25" s="310"/>
      <c r="H25" s="199" t="s">
        <v>707</v>
      </c>
      <c r="I25" s="199" t="s">
        <v>471</v>
      </c>
      <c r="N25" s="186"/>
      <c r="O25" s="186">
        <f t="shared" si="1"/>
        <v>94</v>
      </c>
      <c r="P25" s="186">
        <f>[5]Source!I866</f>
        <v>94</v>
      </c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186"/>
      <c r="DG25" s="186"/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6"/>
      <c r="DU25" s="186"/>
      <c r="DV25" s="186"/>
      <c r="DW25" s="186"/>
      <c r="DX25" s="186"/>
      <c r="DY25" s="186"/>
      <c r="DZ25" s="186"/>
      <c r="EA25" s="186"/>
      <c r="EB25" s="186"/>
      <c r="EC25" s="186"/>
      <c r="ED25" s="186"/>
      <c r="EE25" s="186"/>
      <c r="EF25" s="186"/>
      <c r="EG25" s="186"/>
      <c r="EH25" s="186"/>
      <c r="EI25" s="186"/>
      <c r="EJ25" s="186"/>
      <c r="EK25" s="186"/>
      <c r="EL25" s="186"/>
      <c r="EM25" s="186"/>
      <c r="EN25" s="186"/>
      <c r="EO25" s="186"/>
      <c r="EP25" s="186"/>
      <c r="EQ25" s="186"/>
      <c r="ER25" s="186"/>
      <c r="ES25" s="186"/>
      <c r="ET25" s="186"/>
      <c r="EU25" s="186"/>
      <c r="EV25" s="186"/>
      <c r="EW25" s="186"/>
      <c r="EX25" s="186"/>
      <c r="EY25" s="186"/>
      <c r="EZ25" s="186"/>
      <c r="FA25" s="186"/>
      <c r="FB25" s="186"/>
      <c r="FC25" s="186"/>
      <c r="FD25" s="186"/>
      <c r="FE25" s="186"/>
      <c r="FF25" s="186"/>
      <c r="FG25" s="186"/>
      <c r="FH25" s="186"/>
      <c r="FI25" s="186"/>
      <c r="FJ25" s="186"/>
      <c r="FK25" s="186"/>
      <c r="FL25" s="186"/>
      <c r="FM25" s="186"/>
      <c r="FN25" s="186"/>
      <c r="FO25" s="186"/>
      <c r="FP25" s="186"/>
      <c r="FQ25" s="186"/>
      <c r="FR25" s="186"/>
      <c r="FS25" s="186"/>
      <c r="FT25" s="186"/>
      <c r="FU25" s="186"/>
      <c r="FV25" s="186"/>
      <c r="FW25" s="186"/>
      <c r="FX25" s="186"/>
      <c r="FY25" s="186"/>
      <c r="FZ25" s="186"/>
      <c r="GA25" s="186"/>
      <c r="GB25" s="186"/>
      <c r="GC25" s="186"/>
      <c r="GD25" s="186"/>
      <c r="GE25" s="186"/>
      <c r="GF25" s="186"/>
      <c r="GG25" s="186"/>
      <c r="GH25" s="186"/>
      <c r="GI25" s="186"/>
      <c r="GJ25" s="186"/>
      <c r="GK25" s="186"/>
      <c r="GL25" s="186"/>
      <c r="GM25" s="186"/>
      <c r="GN25" s="186"/>
      <c r="GO25" s="186"/>
      <c r="GP25" s="186"/>
      <c r="GQ25" s="186"/>
      <c r="GR25" s="186"/>
      <c r="GS25" s="186"/>
      <c r="GT25" s="186"/>
      <c r="GU25" s="186"/>
      <c r="GV25" s="186"/>
      <c r="GW25" s="186"/>
      <c r="GX25" s="186"/>
      <c r="GY25" s="186"/>
      <c r="GZ25" s="186"/>
      <c r="HA25" s="186"/>
      <c r="HB25" s="186"/>
      <c r="HC25" s="186"/>
      <c r="HD25" s="186"/>
      <c r="HE25" s="186"/>
      <c r="HF25" s="186"/>
      <c r="HG25" s="186"/>
      <c r="HH25" s="186"/>
      <c r="HI25" s="186"/>
      <c r="HJ25" s="186"/>
      <c r="HK25" s="186"/>
      <c r="HL25" s="186"/>
      <c r="HM25" s="186"/>
      <c r="HN25" s="186"/>
      <c r="HO25" s="186"/>
      <c r="HP25" s="186"/>
      <c r="HQ25" s="186"/>
      <c r="HR25" s="186"/>
      <c r="HS25" s="186"/>
      <c r="HT25" s="186"/>
      <c r="HU25" s="186"/>
      <c r="HV25" s="186"/>
      <c r="HW25" s="186"/>
      <c r="HX25" s="186"/>
      <c r="HY25" s="186"/>
      <c r="HZ25" s="186"/>
      <c r="IA25" s="186"/>
      <c r="IB25" s="186"/>
      <c r="IC25" s="186"/>
      <c r="ID25" s="186"/>
      <c r="IE25" s="186"/>
      <c r="IF25" s="186"/>
      <c r="IG25" s="186"/>
      <c r="IH25" s="186"/>
      <c r="II25" s="186"/>
      <c r="IJ25" s="186"/>
      <c r="IK25" s="186"/>
      <c r="IL25" s="186"/>
      <c r="IM25" s="186"/>
      <c r="IN25" s="186"/>
      <c r="IO25" s="186"/>
      <c r="IP25" s="186"/>
      <c r="IQ25" s="186"/>
      <c r="IR25" s="186"/>
      <c r="IS25" s="186"/>
      <c r="IT25" s="186"/>
      <c r="IU25" s="186"/>
    </row>
    <row r="26" spans="1:255" s="43" customFormat="1" ht="24" x14ac:dyDescent="0.2">
      <c r="A26" s="194">
        <v>19</v>
      </c>
      <c r="B26" s="195" t="s">
        <v>708</v>
      </c>
      <c r="C26" s="195" t="s">
        <v>709</v>
      </c>
      <c r="D26" s="195" t="s">
        <v>551</v>
      </c>
      <c r="E26" s="196">
        <f t="shared" si="0"/>
        <v>73126.229324999993</v>
      </c>
      <c r="F26" s="309" t="s">
        <v>910</v>
      </c>
      <c r="G26" s="310"/>
      <c r="H26" s="199" t="s">
        <v>710</v>
      </c>
      <c r="I26" s="199" t="s">
        <v>471</v>
      </c>
      <c r="N26" s="186"/>
      <c r="O26" s="186">
        <f t="shared" si="1"/>
        <v>73126.229324999993</v>
      </c>
      <c r="P26" s="186">
        <f>[5]Source!I554</f>
        <v>26522.639999999999</v>
      </c>
      <c r="Q26" s="186">
        <f>[5]Source!I643</f>
        <v>13505.365125</v>
      </c>
      <c r="R26" s="186">
        <f>[5]Source!I732</f>
        <v>33098.224199999997</v>
      </c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  <c r="CS26" s="186"/>
      <c r="CT26" s="186"/>
      <c r="CU26" s="186"/>
      <c r="CV26" s="186"/>
      <c r="CW26" s="186"/>
      <c r="CX26" s="186"/>
      <c r="CY26" s="186"/>
      <c r="CZ26" s="186"/>
      <c r="DA26" s="186"/>
      <c r="DB26" s="186"/>
      <c r="DC26" s="186"/>
      <c r="DD26" s="186"/>
      <c r="DE26" s="186"/>
      <c r="DF26" s="186"/>
      <c r="DG26" s="186"/>
      <c r="DH26" s="186"/>
      <c r="DI26" s="186"/>
      <c r="DJ26" s="186"/>
      <c r="DK26" s="186"/>
      <c r="DL26" s="186"/>
      <c r="DM26" s="186"/>
      <c r="DN26" s="186"/>
      <c r="DO26" s="186"/>
      <c r="DP26" s="186"/>
      <c r="DQ26" s="186"/>
      <c r="DR26" s="186"/>
      <c r="DS26" s="186"/>
      <c r="DT26" s="186"/>
      <c r="DU26" s="186"/>
      <c r="DV26" s="186"/>
      <c r="DW26" s="186"/>
      <c r="DX26" s="186"/>
      <c r="DY26" s="186"/>
      <c r="DZ26" s="186"/>
      <c r="EA26" s="186"/>
      <c r="EB26" s="186"/>
      <c r="EC26" s="186"/>
      <c r="ED26" s="186"/>
      <c r="EE26" s="186"/>
      <c r="EF26" s="186"/>
      <c r="EG26" s="186"/>
      <c r="EH26" s="186"/>
      <c r="EI26" s="186"/>
      <c r="EJ26" s="186"/>
      <c r="EK26" s="186"/>
      <c r="EL26" s="186"/>
      <c r="EM26" s="186"/>
      <c r="EN26" s="186"/>
      <c r="EO26" s="186"/>
      <c r="EP26" s="186"/>
      <c r="EQ26" s="186"/>
      <c r="ER26" s="186"/>
      <c r="ES26" s="186"/>
      <c r="ET26" s="186"/>
      <c r="EU26" s="186"/>
      <c r="EV26" s="186"/>
      <c r="EW26" s="186"/>
      <c r="EX26" s="186"/>
      <c r="EY26" s="186"/>
      <c r="EZ26" s="186"/>
      <c r="FA26" s="186"/>
      <c r="FB26" s="186"/>
      <c r="FC26" s="186"/>
      <c r="FD26" s="186"/>
      <c r="FE26" s="186"/>
      <c r="FF26" s="186"/>
      <c r="FG26" s="186"/>
      <c r="FH26" s="186"/>
      <c r="FI26" s="186"/>
      <c r="FJ26" s="186"/>
      <c r="FK26" s="186"/>
      <c r="FL26" s="186"/>
      <c r="FM26" s="186"/>
      <c r="FN26" s="186"/>
      <c r="FO26" s="186"/>
      <c r="FP26" s="186"/>
      <c r="FQ26" s="186"/>
      <c r="FR26" s="186"/>
      <c r="FS26" s="186"/>
      <c r="FT26" s="186"/>
      <c r="FU26" s="186"/>
      <c r="FV26" s="186"/>
      <c r="FW26" s="186"/>
      <c r="FX26" s="186"/>
      <c r="FY26" s="186"/>
      <c r="FZ26" s="186"/>
      <c r="GA26" s="186"/>
      <c r="GB26" s="186"/>
      <c r="GC26" s="186"/>
      <c r="GD26" s="186"/>
      <c r="GE26" s="186"/>
      <c r="GF26" s="186"/>
      <c r="GG26" s="186"/>
      <c r="GH26" s="186"/>
      <c r="GI26" s="186"/>
      <c r="GJ26" s="186"/>
      <c r="GK26" s="186"/>
      <c r="GL26" s="186"/>
      <c r="GM26" s="186"/>
      <c r="GN26" s="186"/>
      <c r="GO26" s="186"/>
      <c r="GP26" s="186"/>
      <c r="GQ26" s="186"/>
      <c r="GR26" s="186"/>
      <c r="GS26" s="186"/>
      <c r="GT26" s="186"/>
      <c r="GU26" s="186"/>
      <c r="GV26" s="186"/>
      <c r="GW26" s="186"/>
      <c r="GX26" s="186"/>
      <c r="GY26" s="186"/>
      <c r="GZ26" s="186"/>
      <c r="HA26" s="186"/>
      <c r="HB26" s="186"/>
      <c r="HC26" s="186"/>
      <c r="HD26" s="186"/>
      <c r="HE26" s="186"/>
      <c r="HF26" s="186"/>
      <c r="HG26" s="186"/>
      <c r="HH26" s="186"/>
      <c r="HI26" s="186"/>
      <c r="HJ26" s="186"/>
      <c r="HK26" s="186"/>
      <c r="HL26" s="186"/>
      <c r="HM26" s="186"/>
      <c r="HN26" s="186"/>
      <c r="HO26" s="186"/>
      <c r="HP26" s="186"/>
      <c r="HQ26" s="186"/>
      <c r="HR26" s="186"/>
      <c r="HS26" s="186"/>
      <c r="HT26" s="186"/>
      <c r="HU26" s="186"/>
      <c r="HV26" s="186"/>
      <c r="HW26" s="186"/>
      <c r="HX26" s="186"/>
      <c r="HY26" s="186"/>
      <c r="HZ26" s="186"/>
      <c r="IA26" s="186"/>
      <c r="IB26" s="186"/>
      <c r="IC26" s="186"/>
      <c r="ID26" s="186"/>
      <c r="IE26" s="186"/>
      <c r="IF26" s="186"/>
      <c r="IG26" s="186"/>
      <c r="IH26" s="186"/>
      <c r="II26" s="186"/>
      <c r="IJ26" s="186"/>
      <c r="IK26" s="186"/>
      <c r="IL26" s="186"/>
      <c r="IM26" s="186"/>
      <c r="IN26" s="186"/>
      <c r="IO26" s="186"/>
      <c r="IP26" s="186"/>
      <c r="IQ26" s="186"/>
      <c r="IR26" s="186"/>
      <c r="IS26" s="186"/>
      <c r="IT26" s="186"/>
      <c r="IU26" s="186"/>
    </row>
    <row r="27" spans="1:255" s="43" customFormat="1" ht="24" x14ac:dyDescent="0.2">
      <c r="A27" s="194">
        <v>20</v>
      </c>
      <c r="B27" s="195" t="s">
        <v>711</v>
      </c>
      <c r="C27" s="195" t="s">
        <v>712</v>
      </c>
      <c r="D27" s="195" t="s">
        <v>547</v>
      </c>
      <c r="E27" s="196">
        <f t="shared" si="0"/>
        <v>293.06460700000002</v>
      </c>
      <c r="F27" s="309" t="s">
        <v>910</v>
      </c>
      <c r="G27" s="310"/>
      <c r="H27" s="199" t="s">
        <v>713</v>
      </c>
      <c r="I27" s="199" t="s">
        <v>471</v>
      </c>
      <c r="N27" s="186"/>
      <c r="O27" s="186">
        <f t="shared" si="1"/>
        <v>293.06460700000002</v>
      </c>
      <c r="P27" s="186">
        <f>[5]Source!I797</f>
        <v>293.06460700000002</v>
      </c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6"/>
      <c r="CT27" s="186"/>
      <c r="CU27" s="186"/>
      <c r="CV27" s="186"/>
      <c r="CW27" s="186"/>
      <c r="CX27" s="186"/>
      <c r="CY27" s="186"/>
      <c r="CZ27" s="186"/>
      <c r="DA27" s="186"/>
      <c r="DB27" s="186"/>
      <c r="DC27" s="186"/>
      <c r="DD27" s="186"/>
      <c r="DE27" s="186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  <c r="DR27" s="186"/>
      <c r="DS27" s="186"/>
      <c r="DT27" s="186"/>
      <c r="DU27" s="186"/>
      <c r="DV27" s="186"/>
      <c r="DW27" s="186"/>
      <c r="DX27" s="186"/>
      <c r="DY27" s="186"/>
      <c r="DZ27" s="186"/>
      <c r="EA27" s="186"/>
      <c r="EB27" s="186"/>
      <c r="EC27" s="186"/>
      <c r="ED27" s="186"/>
      <c r="EE27" s="186"/>
      <c r="EF27" s="186"/>
      <c r="EG27" s="186"/>
      <c r="EH27" s="186"/>
      <c r="EI27" s="186"/>
      <c r="EJ27" s="186"/>
      <c r="EK27" s="186"/>
      <c r="EL27" s="186"/>
      <c r="EM27" s="186"/>
      <c r="EN27" s="186"/>
      <c r="EO27" s="186"/>
      <c r="EP27" s="186"/>
      <c r="EQ27" s="186"/>
      <c r="ER27" s="186"/>
      <c r="ES27" s="186"/>
      <c r="ET27" s="186"/>
      <c r="EU27" s="186"/>
      <c r="EV27" s="186"/>
      <c r="EW27" s="186"/>
      <c r="EX27" s="186"/>
      <c r="EY27" s="186"/>
      <c r="EZ27" s="186"/>
      <c r="FA27" s="186"/>
      <c r="FB27" s="186"/>
      <c r="FC27" s="186"/>
      <c r="FD27" s="186"/>
      <c r="FE27" s="186"/>
      <c r="FF27" s="186"/>
      <c r="FG27" s="186"/>
      <c r="FH27" s="186"/>
      <c r="FI27" s="186"/>
      <c r="FJ27" s="186"/>
      <c r="FK27" s="186"/>
      <c r="FL27" s="186"/>
      <c r="FM27" s="186"/>
      <c r="FN27" s="186"/>
      <c r="FO27" s="186"/>
      <c r="FP27" s="186"/>
      <c r="FQ27" s="186"/>
      <c r="FR27" s="186"/>
      <c r="FS27" s="186"/>
      <c r="FT27" s="186"/>
      <c r="FU27" s="186"/>
      <c r="FV27" s="186"/>
      <c r="FW27" s="186"/>
      <c r="FX27" s="186"/>
      <c r="FY27" s="186"/>
      <c r="FZ27" s="186"/>
      <c r="GA27" s="186"/>
      <c r="GB27" s="186"/>
      <c r="GC27" s="186"/>
      <c r="GD27" s="186"/>
      <c r="GE27" s="186"/>
      <c r="GF27" s="186"/>
      <c r="GG27" s="186"/>
      <c r="GH27" s="186"/>
      <c r="GI27" s="186"/>
      <c r="GJ27" s="186"/>
      <c r="GK27" s="186"/>
      <c r="GL27" s="186"/>
      <c r="GM27" s="186"/>
      <c r="GN27" s="186"/>
      <c r="GO27" s="186"/>
      <c r="GP27" s="186"/>
      <c r="GQ27" s="186"/>
      <c r="GR27" s="186"/>
      <c r="GS27" s="186"/>
      <c r="GT27" s="186"/>
      <c r="GU27" s="186"/>
      <c r="GV27" s="186"/>
      <c r="GW27" s="186"/>
      <c r="GX27" s="186"/>
      <c r="GY27" s="186"/>
      <c r="GZ27" s="186"/>
      <c r="HA27" s="186"/>
      <c r="HB27" s="186"/>
      <c r="HC27" s="186"/>
      <c r="HD27" s="186"/>
      <c r="HE27" s="186"/>
      <c r="HF27" s="186"/>
      <c r="HG27" s="186"/>
      <c r="HH27" s="186"/>
      <c r="HI27" s="186"/>
      <c r="HJ27" s="186"/>
      <c r="HK27" s="186"/>
      <c r="HL27" s="186"/>
      <c r="HM27" s="186"/>
      <c r="HN27" s="186"/>
      <c r="HO27" s="186"/>
      <c r="HP27" s="186"/>
      <c r="HQ27" s="186"/>
      <c r="HR27" s="186"/>
      <c r="HS27" s="186"/>
      <c r="HT27" s="186"/>
      <c r="HU27" s="186"/>
      <c r="HV27" s="186"/>
      <c r="HW27" s="186"/>
      <c r="HX27" s="186"/>
      <c r="HY27" s="186"/>
      <c r="HZ27" s="186"/>
      <c r="IA27" s="186"/>
      <c r="IB27" s="186"/>
      <c r="IC27" s="186"/>
      <c r="ID27" s="186"/>
      <c r="IE27" s="186"/>
      <c r="IF27" s="186"/>
      <c r="IG27" s="186"/>
      <c r="IH27" s="186"/>
      <c r="II27" s="186"/>
      <c r="IJ27" s="186"/>
      <c r="IK27" s="186"/>
      <c r="IL27" s="186"/>
      <c r="IM27" s="186"/>
      <c r="IN27" s="186"/>
      <c r="IO27" s="186"/>
      <c r="IP27" s="186"/>
      <c r="IQ27" s="186"/>
      <c r="IR27" s="186"/>
      <c r="IS27" s="186"/>
      <c r="IT27" s="186"/>
      <c r="IU27" s="186"/>
    </row>
    <row r="28" spans="1:255" s="43" customFormat="1" ht="24" x14ac:dyDescent="0.2">
      <c r="A28" s="194">
        <v>22</v>
      </c>
      <c r="B28" s="195" t="s">
        <v>279</v>
      </c>
      <c r="C28" s="195" t="s">
        <v>714</v>
      </c>
      <c r="D28" s="195" t="s">
        <v>75</v>
      </c>
      <c r="E28" s="196">
        <f t="shared" si="0"/>
        <v>7.5419999999999998</v>
      </c>
      <c r="F28" s="309" t="s">
        <v>910</v>
      </c>
      <c r="G28" s="310"/>
      <c r="H28" s="199" t="s">
        <v>715</v>
      </c>
      <c r="I28" s="199" t="s">
        <v>471</v>
      </c>
      <c r="N28" s="186"/>
      <c r="O28" s="186">
        <f t="shared" si="1"/>
        <v>7.5419999999999998</v>
      </c>
      <c r="P28" s="186">
        <f>[5]Source!I803</f>
        <v>7.5419999999999998</v>
      </c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  <c r="CP28" s="186"/>
      <c r="CQ28" s="186"/>
      <c r="CR28" s="186"/>
      <c r="CS28" s="186"/>
      <c r="CT28" s="186"/>
      <c r="CU28" s="186"/>
      <c r="CV28" s="186"/>
      <c r="CW28" s="186"/>
      <c r="CX28" s="186"/>
      <c r="CY28" s="186"/>
      <c r="CZ28" s="186"/>
      <c r="DA28" s="186"/>
      <c r="DB28" s="186"/>
      <c r="DC28" s="186"/>
      <c r="DD28" s="186"/>
      <c r="DE28" s="186"/>
      <c r="DF28" s="186"/>
      <c r="DG28" s="186"/>
      <c r="DH28" s="186"/>
      <c r="DI28" s="186"/>
      <c r="DJ28" s="186"/>
      <c r="DK28" s="186"/>
      <c r="DL28" s="186"/>
      <c r="DM28" s="186"/>
      <c r="DN28" s="186"/>
      <c r="DO28" s="186"/>
      <c r="DP28" s="186"/>
      <c r="DQ28" s="186"/>
      <c r="DR28" s="186"/>
      <c r="DS28" s="186"/>
      <c r="DT28" s="186"/>
      <c r="DU28" s="186"/>
      <c r="DV28" s="186"/>
      <c r="DW28" s="186"/>
      <c r="DX28" s="186"/>
      <c r="DY28" s="186"/>
      <c r="DZ28" s="186"/>
      <c r="EA28" s="186"/>
      <c r="EB28" s="186"/>
      <c r="EC28" s="186"/>
      <c r="ED28" s="186"/>
      <c r="EE28" s="186"/>
      <c r="EF28" s="186"/>
      <c r="EG28" s="186"/>
      <c r="EH28" s="186"/>
      <c r="EI28" s="186"/>
      <c r="EJ28" s="186"/>
      <c r="EK28" s="186"/>
      <c r="EL28" s="186"/>
      <c r="EM28" s="186"/>
      <c r="EN28" s="186"/>
      <c r="EO28" s="186"/>
      <c r="EP28" s="186"/>
      <c r="EQ28" s="186"/>
      <c r="ER28" s="186"/>
      <c r="ES28" s="186"/>
      <c r="ET28" s="186"/>
      <c r="EU28" s="186"/>
      <c r="EV28" s="186"/>
      <c r="EW28" s="186"/>
      <c r="EX28" s="186"/>
      <c r="EY28" s="186"/>
      <c r="EZ28" s="186"/>
      <c r="FA28" s="186"/>
      <c r="FB28" s="186"/>
      <c r="FC28" s="186"/>
      <c r="FD28" s="186"/>
      <c r="FE28" s="186"/>
      <c r="FF28" s="186"/>
      <c r="FG28" s="186"/>
      <c r="FH28" s="186"/>
      <c r="FI28" s="186"/>
      <c r="FJ28" s="186"/>
      <c r="FK28" s="186"/>
      <c r="FL28" s="186"/>
      <c r="FM28" s="186"/>
      <c r="FN28" s="186"/>
      <c r="FO28" s="186"/>
      <c r="FP28" s="186"/>
      <c r="FQ28" s="186"/>
      <c r="FR28" s="186"/>
      <c r="FS28" s="186"/>
      <c r="FT28" s="186"/>
      <c r="FU28" s="186"/>
      <c r="FV28" s="186"/>
      <c r="FW28" s="186"/>
      <c r="FX28" s="186"/>
      <c r="FY28" s="186"/>
      <c r="FZ28" s="186"/>
      <c r="GA28" s="186"/>
      <c r="GB28" s="186"/>
      <c r="GC28" s="186"/>
      <c r="GD28" s="186"/>
      <c r="GE28" s="186"/>
      <c r="GF28" s="186"/>
      <c r="GG28" s="186"/>
      <c r="GH28" s="186"/>
      <c r="GI28" s="186"/>
      <c r="GJ28" s="186"/>
      <c r="GK28" s="186"/>
      <c r="GL28" s="186"/>
      <c r="GM28" s="186"/>
      <c r="GN28" s="186"/>
      <c r="GO28" s="186"/>
      <c r="GP28" s="186"/>
      <c r="GQ28" s="186"/>
      <c r="GR28" s="186"/>
      <c r="GS28" s="186"/>
      <c r="GT28" s="186"/>
      <c r="GU28" s="186"/>
      <c r="GV28" s="186"/>
      <c r="GW28" s="186"/>
      <c r="GX28" s="186"/>
      <c r="GY28" s="186"/>
      <c r="GZ28" s="186"/>
      <c r="HA28" s="186"/>
      <c r="HB28" s="186"/>
      <c r="HC28" s="186"/>
      <c r="HD28" s="186"/>
      <c r="HE28" s="186"/>
      <c r="HF28" s="186"/>
      <c r="HG28" s="186"/>
      <c r="HH28" s="186"/>
      <c r="HI28" s="186"/>
      <c r="HJ28" s="186"/>
      <c r="HK28" s="186"/>
      <c r="HL28" s="186"/>
      <c r="HM28" s="186"/>
      <c r="HN28" s="186"/>
      <c r="HO28" s="186"/>
      <c r="HP28" s="186"/>
      <c r="HQ28" s="186"/>
      <c r="HR28" s="186"/>
      <c r="HS28" s="186"/>
      <c r="HT28" s="186"/>
      <c r="HU28" s="186"/>
      <c r="HV28" s="186"/>
      <c r="HW28" s="186"/>
      <c r="HX28" s="186"/>
      <c r="HY28" s="186"/>
      <c r="HZ28" s="186"/>
      <c r="IA28" s="186"/>
      <c r="IB28" s="186"/>
      <c r="IC28" s="186"/>
      <c r="ID28" s="186"/>
      <c r="IE28" s="186"/>
      <c r="IF28" s="186"/>
      <c r="IG28" s="186"/>
      <c r="IH28" s="186"/>
      <c r="II28" s="186"/>
      <c r="IJ28" s="186"/>
      <c r="IK28" s="186"/>
      <c r="IL28" s="186"/>
      <c r="IM28" s="186"/>
      <c r="IN28" s="186"/>
      <c r="IO28" s="186"/>
      <c r="IP28" s="186"/>
      <c r="IQ28" s="186"/>
      <c r="IR28" s="186"/>
      <c r="IS28" s="186"/>
      <c r="IT28" s="186"/>
      <c r="IU28" s="186"/>
    </row>
    <row r="29" spans="1:255" s="43" customFormat="1" ht="24" x14ac:dyDescent="0.2">
      <c r="A29" s="194">
        <v>23</v>
      </c>
      <c r="B29" s="195" t="s">
        <v>548</v>
      </c>
      <c r="C29" s="195" t="s">
        <v>651</v>
      </c>
      <c r="D29" s="195" t="s">
        <v>547</v>
      </c>
      <c r="E29" s="196">
        <f t="shared" si="0"/>
        <v>13.13</v>
      </c>
      <c r="F29" s="309" t="s">
        <v>910</v>
      </c>
      <c r="G29" s="310"/>
      <c r="H29" s="199" t="s">
        <v>716</v>
      </c>
      <c r="I29" s="199" t="s">
        <v>471</v>
      </c>
      <c r="N29" s="186"/>
      <c r="O29" s="186">
        <f t="shared" si="1"/>
        <v>13.13</v>
      </c>
      <c r="P29" s="186">
        <f>[5]Source!I925</f>
        <v>13.13</v>
      </c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  <c r="CP29" s="186"/>
      <c r="CQ29" s="186"/>
      <c r="CR29" s="186"/>
      <c r="CS29" s="186"/>
      <c r="CT29" s="186"/>
      <c r="CU29" s="186"/>
      <c r="CV29" s="186"/>
      <c r="CW29" s="186"/>
      <c r="CX29" s="186"/>
      <c r="CY29" s="186"/>
      <c r="CZ29" s="186"/>
      <c r="DA29" s="186"/>
      <c r="DB29" s="186"/>
      <c r="DC29" s="186"/>
      <c r="DD29" s="186"/>
      <c r="DE29" s="186"/>
      <c r="DF29" s="186"/>
      <c r="DG29" s="186"/>
      <c r="DH29" s="186"/>
      <c r="DI29" s="186"/>
      <c r="DJ29" s="186"/>
      <c r="DK29" s="186"/>
      <c r="DL29" s="186"/>
      <c r="DM29" s="186"/>
      <c r="DN29" s="186"/>
      <c r="DO29" s="186"/>
      <c r="DP29" s="186"/>
      <c r="DQ29" s="186"/>
      <c r="DR29" s="186"/>
      <c r="DS29" s="186"/>
      <c r="DT29" s="186"/>
      <c r="DU29" s="186"/>
      <c r="DV29" s="186"/>
      <c r="DW29" s="186"/>
      <c r="DX29" s="186"/>
      <c r="DY29" s="186"/>
      <c r="DZ29" s="186"/>
      <c r="EA29" s="186"/>
      <c r="EB29" s="186"/>
      <c r="EC29" s="186"/>
      <c r="ED29" s="186"/>
      <c r="EE29" s="186"/>
      <c r="EF29" s="186"/>
      <c r="EG29" s="186"/>
      <c r="EH29" s="186"/>
      <c r="EI29" s="186"/>
      <c r="EJ29" s="186"/>
      <c r="EK29" s="186"/>
      <c r="EL29" s="186"/>
      <c r="EM29" s="186"/>
      <c r="EN29" s="186"/>
      <c r="EO29" s="186"/>
      <c r="EP29" s="186"/>
      <c r="EQ29" s="186"/>
      <c r="ER29" s="186"/>
      <c r="ES29" s="186"/>
      <c r="ET29" s="186"/>
      <c r="EU29" s="186"/>
      <c r="EV29" s="186"/>
      <c r="EW29" s="186"/>
      <c r="EX29" s="186"/>
      <c r="EY29" s="186"/>
      <c r="EZ29" s="186"/>
      <c r="FA29" s="186"/>
      <c r="FB29" s="186"/>
      <c r="FC29" s="186"/>
      <c r="FD29" s="186"/>
      <c r="FE29" s="186"/>
      <c r="FF29" s="186"/>
      <c r="FG29" s="186"/>
      <c r="FH29" s="186"/>
      <c r="FI29" s="186"/>
      <c r="FJ29" s="186"/>
      <c r="FK29" s="186"/>
      <c r="FL29" s="186"/>
      <c r="FM29" s="186"/>
      <c r="FN29" s="186"/>
      <c r="FO29" s="186"/>
      <c r="FP29" s="186"/>
      <c r="FQ29" s="186"/>
      <c r="FR29" s="186"/>
      <c r="FS29" s="186"/>
      <c r="FT29" s="186"/>
      <c r="FU29" s="186"/>
      <c r="FV29" s="186"/>
      <c r="FW29" s="186"/>
      <c r="FX29" s="186"/>
      <c r="FY29" s="186"/>
      <c r="FZ29" s="186"/>
      <c r="GA29" s="186"/>
      <c r="GB29" s="186"/>
      <c r="GC29" s="186"/>
      <c r="GD29" s="186"/>
      <c r="GE29" s="186"/>
      <c r="GF29" s="186"/>
      <c r="GG29" s="186"/>
      <c r="GH29" s="186"/>
      <c r="GI29" s="186"/>
      <c r="GJ29" s="186"/>
      <c r="GK29" s="186"/>
      <c r="GL29" s="186"/>
      <c r="GM29" s="186"/>
      <c r="GN29" s="186"/>
      <c r="GO29" s="186"/>
      <c r="GP29" s="186"/>
      <c r="GQ29" s="186"/>
      <c r="GR29" s="186"/>
      <c r="GS29" s="186"/>
      <c r="GT29" s="186"/>
      <c r="GU29" s="186"/>
      <c r="GV29" s="186"/>
      <c r="GW29" s="186"/>
      <c r="GX29" s="186"/>
      <c r="GY29" s="186"/>
      <c r="GZ29" s="186"/>
      <c r="HA29" s="186"/>
      <c r="HB29" s="186"/>
      <c r="HC29" s="186"/>
      <c r="HD29" s="186"/>
      <c r="HE29" s="186"/>
      <c r="HF29" s="186"/>
      <c r="HG29" s="186"/>
      <c r="HH29" s="186"/>
      <c r="HI29" s="186"/>
      <c r="HJ29" s="186"/>
      <c r="HK29" s="186"/>
      <c r="HL29" s="186"/>
      <c r="HM29" s="186"/>
      <c r="HN29" s="186"/>
      <c r="HO29" s="186"/>
      <c r="HP29" s="186"/>
      <c r="HQ29" s="186"/>
      <c r="HR29" s="186"/>
      <c r="HS29" s="186"/>
      <c r="HT29" s="186"/>
      <c r="HU29" s="186"/>
      <c r="HV29" s="186"/>
      <c r="HW29" s="186"/>
      <c r="HX29" s="186"/>
      <c r="HY29" s="186"/>
      <c r="HZ29" s="186"/>
      <c r="IA29" s="186"/>
      <c r="IB29" s="186"/>
      <c r="IC29" s="186"/>
      <c r="ID29" s="186"/>
      <c r="IE29" s="186"/>
      <c r="IF29" s="186"/>
      <c r="IG29" s="186"/>
      <c r="IH29" s="186"/>
      <c r="II29" s="186"/>
      <c r="IJ29" s="186"/>
      <c r="IK29" s="186"/>
      <c r="IL29" s="186"/>
      <c r="IM29" s="186"/>
      <c r="IN29" s="186"/>
      <c r="IO29" s="186"/>
      <c r="IP29" s="186"/>
      <c r="IQ29" s="186"/>
      <c r="IR29" s="186"/>
      <c r="IS29" s="186"/>
      <c r="IT29" s="186"/>
      <c r="IU29" s="186"/>
    </row>
    <row r="30" spans="1:255" s="43" customFormat="1" ht="24" x14ac:dyDescent="0.2">
      <c r="A30" s="194">
        <v>24</v>
      </c>
      <c r="B30" s="195" t="s">
        <v>548</v>
      </c>
      <c r="C30" s="195" t="s">
        <v>717</v>
      </c>
      <c r="D30" s="195" t="s">
        <v>547</v>
      </c>
      <c r="E30" s="196">
        <f t="shared" si="0"/>
        <v>27.27</v>
      </c>
      <c r="F30" s="309" t="s">
        <v>910</v>
      </c>
      <c r="G30" s="310"/>
      <c r="H30" s="199" t="s">
        <v>718</v>
      </c>
      <c r="I30" s="199" t="s">
        <v>471</v>
      </c>
      <c r="N30" s="186"/>
      <c r="O30" s="186">
        <f t="shared" si="1"/>
        <v>27.27</v>
      </c>
      <c r="P30" s="186">
        <f>[5]Source!I870</f>
        <v>27.27</v>
      </c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186"/>
      <c r="CQ30" s="186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86"/>
      <c r="DD30" s="186"/>
      <c r="DE30" s="186"/>
      <c r="DF30" s="186"/>
      <c r="DG30" s="186"/>
      <c r="DH30" s="186"/>
      <c r="DI30" s="186"/>
      <c r="DJ30" s="186"/>
      <c r="DK30" s="186"/>
      <c r="DL30" s="186"/>
      <c r="DM30" s="186"/>
      <c r="DN30" s="186"/>
      <c r="DO30" s="186"/>
      <c r="DP30" s="186"/>
      <c r="DQ30" s="186"/>
      <c r="DR30" s="186"/>
      <c r="DS30" s="186"/>
      <c r="DT30" s="186"/>
      <c r="DU30" s="186"/>
      <c r="DV30" s="186"/>
      <c r="DW30" s="186"/>
      <c r="DX30" s="186"/>
      <c r="DY30" s="186"/>
      <c r="DZ30" s="186"/>
      <c r="EA30" s="186"/>
      <c r="EB30" s="186"/>
      <c r="EC30" s="186"/>
      <c r="ED30" s="186"/>
      <c r="EE30" s="186"/>
      <c r="EF30" s="186"/>
      <c r="EG30" s="186"/>
      <c r="EH30" s="186"/>
      <c r="EI30" s="186"/>
      <c r="EJ30" s="186"/>
      <c r="EK30" s="186"/>
      <c r="EL30" s="186"/>
      <c r="EM30" s="186"/>
      <c r="EN30" s="186"/>
      <c r="EO30" s="186"/>
      <c r="EP30" s="186"/>
      <c r="EQ30" s="186"/>
      <c r="ER30" s="186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6"/>
      <c r="FF30" s="186"/>
      <c r="FG30" s="186"/>
      <c r="FH30" s="186"/>
      <c r="FI30" s="186"/>
      <c r="FJ30" s="186"/>
      <c r="FK30" s="186"/>
      <c r="FL30" s="186"/>
      <c r="FM30" s="186"/>
      <c r="FN30" s="186"/>
      <c r="FO30" s="186"/>
      <c r="FP30" s="186"/>
      <c r="FQ30" s="186"/>
      <c r="FR30" s="186"/>
      <c r="FS30" s="186"/>
      <c r="FT30" s="186"/>
      <c r="FU30" s="186"/>
      <c r="FV30" s="186"/>
      <c r="FW30" s="186"/>
      <c r="FX30" s="186"/>
      <c r="FY30" s="186"/>
      <c r="FZ30" s="186"/>
      <c r="GA30" s="186"/>
      <c r="GB30" s="186"/>
      <c r="GC30" s="186"/>
      <c r="GD30" s="186"/>
      <c r="GE30" s="186"/>
      <c r="GF30" s="186"/>
      <c r="GG30" s="186"/>
      <c r="GH30" s="186"/>
      <c r="GI30" s="186"/>
      <c r="GJ30" s="186"/>
      <c r="GK30" s="186"/>
      <c r="GL30" s="186"/>
      <c r="GM30" s="186"/>
      <c r="GN30" s="186"/>
      <c r="GO30" s="186"/>
      <c r="GP30" s="186"/>
      <c r="GQ30" s="186"/>
      <c r="GR30" s="186"/>
      <c r="GS30" s="186"/>
      <c r="GT30" s="186"/>
      <c r="GU30" s="186"/>
      <c r="GV30" s="186"/>
      <c r="GW30" s="186"/>
      <c r="GX30" s="186"/>
      <c r="GY30" s="186"/>
      <c r="GZ30" s="186"/>
      <c r="HA30" s="186"/>
      <c r="HB30" s="186"/>
      <c r="HC30" s="186"/>
      <c r="HD30" s="186"/>
      <c r="HE30" s="186"/>
      <c r="HF30" s="186"/>
      <c r="HG30" s="186"/>
      <c r="HH30" s="186"/>
      <c r="HI30" s="186"/>
      <c r="HJ30" s="186"/>
      <c r="HK30" s="186"/>
      <c r="HL30" s="186"/>
      <c r="HM30" s="186"/>
      <c r="HN30" s="186"/>
      <c r="HO30" s="186"/>
      <c r="HP30" s="186"/>
      <c r="HQ30" s="186"/>
      <c r="HR30" s="186"/>
      <c r="HS30" s="186"/>
      <c r="HT30" s="186"/>
      <c r="HU30" s="186"/>
      <c r="HV30" s="186"/>
      <c r="HW30" s="186"/>
      <c r="HX30" s="186"/>
      <c r="HY30" s="186"/>
      <c r="HZ30" s="186"/>
      <c r="IA30" s="186"/>
      <c r="IB30" s="186"/>
      <c r="IC30" s="186"/>
      <c r="ID30" s="186"/>
      <c r="IE30" s="186"/>
      <c r="IF30" s="186"/>
      <c r="IG30" s="186"/>
      <c r="IH30" s="186"/>
      <c r="II30" s="186"/>
      <c r="IJ30" s="186"/>
      <c r="IK30" s="186"/>
      <c r="IL30" s="186"/>
      <c r="IM30" s="186"/>
      <c r="IN30" s="186"/>
      <c r="IO30" s="186"/>
      <c r="IP30" s="186"/>
      <c r="IQ30" s="186"/>
      <c r="IR30" s="186"/>
      <c r="IS30" s="186"/>
      <c r="IT30" s="186"/>
      <c r="IU30" s="186"/>
    </row>
    <row r="31" spans="1:255" s="43" customFormat="1" ht="24" x14ac:dyDescent="0.2">
      <c r="A31" s="194">
        <v>25</v>
      </c>
      <c r="B31" s="195" t="s">
        <v>719</v>
      </c>
      <c r="C31" s="195" t="s">
        <v>720</v>
      </c>
      <c r="D31" s="195" t="s">
        <v>537</v>
      </c>
      <c r="E31" s="196">
        <f t="shared" si="0"/>
        <v>4.9349999999999996</v>
      </c>
      <c r="F31" s="309" t="s">
        <v>910</v>
      </c>
      <c r="G31" s="310"/>
      <c r="H31" s="199" t="s">
        <v>721</v>
      </c>
      <c r="I31" s="199" t="s">
        <v>471</v>
      </c>
      <c r="N31" s="186"/>
      <c r="O31" s="186">
        <f t="shared" si="1"/>
        <v>4.9349999999999996</v>
      </c>
      <c r="P31" s="186">
        <f>[5]Source!I856</f>
        <v>4.9349999999999996</v>
      </c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  <c r="CP31" s="186"/>
      <c r="CQ31" s="186"/>
      <c r="CR31" s="186"/>
      <c r="CS31" s="186"/>
      <c r="CT31" s="186"/>
      <c r="CU31" s="186"/>
      <c r="CV31" s="186"/>
      <c r="CW31" s="186"/>
      <c r="CX31" s="186"/>
      <c r="CY31" s="186"/>
      <c r="CZ31" s="186"/>
      <c r="DA31" s="186"/>
      <c r="DB31" s="186"/>
      <c r="DC31" s="186"/>
      <c r="DD31" s="186"/>
      <c r="DE31" s="186"/>
      <c r="DF31" s="186"/>
      <c r="DG31" s="186"/>
      <c r="DH31" s="186"/>
      <c r="DI31" s="186"/>
      <c r="DJ31" s="186"/>
      <c r="DK31" s="186"/>
      <c r="DL31" s="186"/>
      <c r="DM31" s="186"/>
      <c r="DN31" s="186"/>
      <c r="DO31" s="186"/>
      <c r="DP31" s="186"/>
      <c r="DQ31" s="186"/>
      <c r="DR31" s="186"/>
      <c r="DS31" s="186"/>
      <c r="DT31" s="186"/>
      <c r="DU31" s="186"/>
      <c r="DV31" s="186"/>
      <c r="DW31" s="186"/>
      <c r="DX31" s="186"/>
      <c r="DY31" s="186"/>
      <c r="DZ31" s="186"/>
      <c r="EA31" s="186"/>
      <c r="EB31" s="186"/>
      <c r="EC31" s="186"/>
      <c r="ED31" s="186"/>
      <c r="EE31" s="186"/>
      <c r="EF31" s="186"/>
      <c r="EG31" s="186"/>
      <c r="EH31" s="186"/>
      <c r="EI31" s="186"/>
      <c r="EJ31" s="186"/>
      <c r="EK31" s="186"/>
      <c r="EL31" s="186"/>
      <c r="EM31" s="186"/>
      <c r="EN31" s="186"/>
      <c r="EO31" s="186"/>
      <c r="EP31" s="186"/>
      <c r="EQ31" s="186"/>
      <c r="ER31" s="186"/>
      <c r="ES31" s="186"/>
      <c r="ET31" s="186"/>
      <c r="EU31" s="186"/>
      <c r="EV31" s="186"/>
      <c r="EW31" s="186"/>
      <c r="EX31" s="186"/>
      <c r="EY31" s="186"/>
      <c r="EZ31" s="186"/>
      <c r="FA31" s="186"/>
      <c r="FB31" s="186"/>
      <c r="FC31" s="186"/>
      <c r="FD31" s="186"/>
      <c r="FE31" s="186"/>
      <c r="FF31" s="186"/>
      <c r="FG31" s="186"/>
      <c r="FH31" s="186"/>
      <c r="FI31" s="186"/>
      <c r="FJ31" s="186"/>
      <c r="FK31" s="186"/>
      <c r="FL31" s="186"/>
      <c r="FM31" s="186"/>
      <c r="FN31" s="186"/>
      <c r="FO31" s="186"/>
      <c r="FP31" s="186"/>
      <c r="FQ31" s="186"/>
      <c r="FR31" s="186"/>
      <c r="FS31" s="186"/>
      <c r="FT31" s="186"/>
      <c r="FU31" s="186"/>
      <c r="FV31" s="186"/>
      <c r="FW31" s="186"/>
      <c r="FX31" s="186"/>
      <c r="FY31" s="186"/>
      <c r="FZ31" s="186"/>
      <c r="GA31" s="186"/>
      <c r="GB31" s="186"/>
      <c r="GC31" s="186"/>
      <c r="GD31" s="186"/>
      <c r="GE31" s="186"/>
      <c r="GF31" s="186"/>
      <c r="GG31" s="186"/>
      <c r="GH31" s="186"/>
      <c r="GI31" s="186"/>
      <c r="GJ31" s="186"/>
      <c r="GK31" s="186"/>
      <c r="GL31" s="186"/>
      <c r="GM31" s="186"/>
      <c r="GN31" s="186"/>
      <c r="GO31" s="186"/>
      <c r="GP31" s="186"/>
      <c r="GQ31" s="186"/>
      <c r="GR31" s="186"/>
      <c r="GS31" s="186"/>
      <c r="GT31" s="186"/>
      <c r="GU31" s="186"/>
      <c r="GV31" s="186"/>
      <c r="GW31" s="186"/>
      <c r="GX31" s="186"/>
      <c r="GY31" s="186"/>
      <c r="GZ31" s="186"/>
      <c r="HA31" s="186"/>
      <c r="HB31" s="186"/>
      <c r="HC31" s="186"/>
      <c r="HD31" s="186"/>
      <c r="HE31" s="186"/>
      <c r="HF31" s="186"/>
      <c r="HG31" s="186"/>
      <c r="HH31" s="186"/>
      <c r="HI31" s="186"/>
      <c r="HJ31" s="186"/>
      <c r="HK31" s="186"/>
      <c r="HL31" s="186"/>
      <c r="HM31" s="186"/>
      <c r="HN31" s="186"/>
      <c r="HO31" s="186"/>
      <c r="HP31" s="186"/>
      <c r="HQ31" s="186"/>
      <c r="HR31" s="186"/>
      <c r="HS31" s="186"/>
      <c r="HT31" s="186"/>
      <c r="HU31" s="186"/>
      <c r="HV31" s="186"/>
      <c r="HW31" s="186"/>
      <c r="HX31" s="186"/>
      <c r="HY31" s="186"/>
      <c r="HZ31" s="186"/>
      <c r="IA31" s="186"/>
      <c r="IB31" s="186"/>
      <c r="IC31" s="186"/>
      <c r="ID31" s="186"/>
      <c r="IE31" s="186"/>
      <c r="IF31" s="186"/>
      <c r="IG31" s="186"/>
      <c r="IH31" s="186"/>
      <c r="II31" s="186"/>
      <c r="IJ31" s="186"/>
      <c r="IK31" s="186"/>
      <c r="IL31" s="186"/>
      <c r="IM31" s="186"/>
      <c r="IN31" s="186"/>
      <c r="IO31" s="186"/>
      <c r="IP31" s="186"/>
      <c r="IQ31" s="186"/>
      <c r="IR31" s="186"/>
      <c r="IS31" s="186"/>
      <c r="IT31" s="186"/>
      <c r="IU31" s="186"/>
    </row>
    <row r="32" spans="1:255" s="43" customFormat="1" ht="36" x14ac:dyDescent="0.2">
      <c r="A32" s="194">
        <v>27</v>
      </c>
      <c r="B32" s="195" t="s">
        <v>653</v>
      </c>
      <c r="C32" s="195" t="s">
        <v>722</v>
      </c>
      <c r="D32" s="195" t="s">
        <v>537</v>
      </c>
      <c r="E32" s="196">
        <f t="shared" si="0"/>
        <v>641.57999999999993</v>
      </c>
      <c r="F32" s="309" t="s">
        <v>910</v>
      </c>
      <c r="G32" s="310"/>
      <c r="H32" s="199" t="s">
        <v>723</v>
      </c>
      <c r="I32" s="199" t="s">
        <v>471</v>
      </c>
      <c r="N32" s="186"/>
      <c r="O32" s="186">
        <f t="shared" si="1"/>
        <v>641.57999999999993</v>
      </c>
      <c r="P32" s="186">
        <f>[5]Source!I57</f>
        <v>265.70999999999998</v>
      </c>
      <c r="Q32" s="186">
        <f>[5]Source!I1055</f>
        <v>375.87</v>
      </c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  <c r="CP32" s="186"/>
      <c r="CQ32" s="186"/>
      <c r="CR32" s="186"/>
      <c r="CS32" s="186"/>
      <c r="CT32" s="186"/>
      <c r="CU32" s="186"/>
      <c r="CV32" s="186"/>
      <c r="CW32" s="186"/>
      <c r="CX32" s="186"/>
      <c r="CY32" s="186"/>
      <c r="CZ32" s="186"/>
      <c r="DA32" s="186"/>
      <c r="DB32" s="186"/>
      <c r="DC32" s="186"/>
      <c r="DD32" s="186"/>
      <c r="DE32" s="186"/>
      <c r="DF32" s="186"/>
      <c r="DG32" s="186"/>
      <c r="DH32" s="186"/>
      <c r="DI32" s="186"/>
      <c r="DJ32" s="186"/>
      <c r="DK32" s="186"/>
      <c r="DL32" s="186"/>
      <c r="DM32" s="186"/>
      <c r="DN32" s="186"/>
      <c r="DO32" s="186"/>
      <c r="DP32" s="186"/>
      <c r="DQ32" s="186"/>
      <c r="DR32" s="186"/>
      <c r="DS32" s="186"/>
      <c r="DT32" s="186"/>
      <c r="DU32" s="186"/>
      <c r="DV32" s="186"/>
      <c r="DW32" s="186"/>
      <c r="DX32" s="186"/>
      <c r="DY32" s="186"/>
      <c r="DZ32" s="186"/>
      <c r="EA32" s="186"/>
      <c r="EB32" s="186"/>
      <c r="EC32" s="186"/>
      <c r="ED32" s="186"/>
      <c r="EE32" s="186"/>
      <c r="EF32" s="186"/>
      <c r="EG32" s="186"/>
      <c r="EH32" s="186"/>
      <c r="EI32" s="186"/>
      <c r="EJ32" s="186"/>
      <c r="EK32" s="186"/>
      <c r="EL32" s="186"/>
      <c r="EM32" s="186"/>
      <c r="EN32" s="186"/>
      <c r="EO32" s="186"/>
      <c r="EP32" s="186"/>
      <c r="EQ32" s="186"/>
      <c r="ER32" s="186"/>
      <c r="ES32" s="186"/>
      <c r="ET32" s="186"/>
      <c r="EU32" s="186"/>
      <c r="EV32" s="186"/>
      <c r="EW32" s="186"/>
      <c r="EX32" s="186"/>
      <c r="EY32" s="186"/>
      <c r="EZ32" s="186"/>
      <c r="FA32" s="186"/>
      <c r="FB32" s="186"/>
      <c r="FC32" s="186"/>
      <c r="FD32" s="186"/>
      <c r="FE32" s="186"/>
      <c r="FF32" s="186"/>
      <c r="FG32" s="186"/>
      <c r="FH32" s="186"/>
      <c r="FI32" s="186"/>
      <c r="FJ32" s="186"/>
      <c r="FK32" s="186"/>
      <c r="FL32" s="186"/>
      <c r="FM32" s="186"/>
      <c r="FN32" s="186"/>
      <c r="FO32" s="186"/>
      <c r="FP32" s="186"/>
      <c r="FQ32" s="186"/>
      <c r="FR32" s="186"/>
      <c r="FS32" s="186"/>
      <c r="FT32" s="186"/>
      <c r="FU32" s="186"/>
      <c r="FV32" s="186"/>
      <c r="FW32" s="186"/>
      <c r="FX32" s="186"/>
      <c r="FY32" s="186"/>
      <c r="FZ32" s="186"/>
      <c r="GA32" s="186"/>
      <c r="GB32" s="186"/>
      <c r="GC32" s="186"/>
      <c r="GD32" s="186"/>
      <c r="GE32" s="186"/>
      <c r="GF32" s="186"/>
      <c r="GG32" s="186"/>
      <c r="GH32" s="186"/>
      <c r="GI32" s="186"/>
      <c r="GJ32" s="186"/>
      <c r="GK32" s="186"/>
      <c r="GL32" s="186"/>
      <c r="GM32" s="186"/>
      <c r="GN32" s="186"/>
      <c r="GO32" s="186"/>
      <c r="GP32" s="186"/>
      <c r="GQ32" s="186"/>
      <c r="GR32" s="186"/>
      <c r="GS32" s="186"/>
      <c r="GT32" s="186"/>
      <c r="GU32" s="186"/>
      <c r="GV32" s="186"/>
      <c r="GW32" s="186"/>
      <c r="GX32" s="186"/>
      <c r="GY32" s="186"/>
      <c r="GZ32" s="186"/>
      <c r="HA32" s="186"/>
      <c r="HB32" s="186"/>
      <c r="HC32" s="186"/>
      <c r="HD32" s="186"/>
      <c r="HE32" s="186"/>
      <c r="HF32" s="186"/>
      <c r="HG32" s="186"/>
      <c r="HH32" s="186"/>
      <c r="HI32" s="186"/>
      <c r="HJ32" s="186"/>
      <c r="HK32" s="186"/>
      <c r="HL32" s="186"/>
      <c r="HM32" s="186"/>
      <c r="HN32" s="186"/>
      <c r="HO32" s="186"/>
      <c r="HP32" s="186"/>
      <c r="HQ32" s="186"/>
      <c r="HR32" s="186"/>
      <c r="HS32" s="186"/>
      <c r="HT32" s="186"/>
      <c r="HU32" s="186"/>
      <c r="HV32" s="186"/>
      <c r="HW32" s="186"/>
      <c r="HX32" s="186"/>
      <c r="HY32" s="186"/>
      <c r="HZ32" s="186"/>
      <c r="IA32" s="186"/>
      <c r="IB32" s="186"/>
      <c r="IC32" s="186"/>
      <c r="ID32" s="186"/>
      <c r="IE32" s="186"/>
      <c r="IF32" s="186"/>
      <c r="IG32" s="186"/>
      <c r="IH32" s="186"/>
      <c r="II32" s="186"/>
      <c r="IJ32" s="186"/>
      <c r="IK32" s="186"/>
      <c r="IL32" s="186"/>
      <c r="IM32" s="186"/>
      <c r="IN32" s="186"/>
      <c r="IO32" s="186"/>
      <c r="IP32" s="186"/>
      <c r="IQ32" s="186"/>
      <c r="IR32" s="186"/>
      <c r="IS32" s="186"/>
      <c r="IT32" s="186"/>
      <c r="IU32" s="186"/>
    </row>
    <row r="33" spans="1:255" s="43" customFormat="1" ht="36" x14ac:dyDescent="0.2">
      <c r="A33" s="194">
        <v>28</v>
      </c>
      <c r="B33" s="195" t="s">
        <v>653</v>
      </c>
      <c r="C33" s="195" t="s">
        <v>724</v>
      </c>
      <c r="D33" s="195" t="s">
        <v>537</v>
      </c>
      <c r="E33" s="196">
        <f t="shared" si="0"/>
        <v>1319.625</v>
      </c>
      <c r="F33" s="309" t="s">
        <v>910</v>
      </c>
      <c r="G33" s="310"/>
      <c r="H33" s="199" t="s">
        <v>655</v>
      </c>
      <c r="I33" s="199" t="s">
        <v>471</v>
      </c>
      <c r="N33" s="186"/>
      <c r="O33" s="186">
        <f t="shared" si="1"/>
        <v>1319.625</v>
      </c>
      <c r="P33" s="186">
        <f>[5]Source!I213</f>
        <v>1294.8900000000001</v>
      </c>
      <c r="Q33" s="186">
        <f>[5]Source!I1130</f>
        <v>24.734999999999999</v>
      </c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  <c r="CP33" s="186"/>
      <c r="CQ33" s="186"/>
      <c r="CR33" s="186"/>
      <c r="CS33" s="186"/>
      <c r="CT33" s="186"/>
      <c r="CU33" s="186"/>
      <c r="CV33" s="186"/>
      <c r="CW33" s="186"/>
      <c r="CX33" s="186"/>
      <c r="CY33" s="186"/>
      <c r="CZ33" s="186"/>
      <c r="DA33" s="186"/>
      <c r="DB33" s="186"/>
      <c r="DC33" s="186"/>
      <c r="DD33" s="186"/>
      <c r="DE33" s="186"/>
      <c r="DF33" s="186"/>
      <c r="DG33" s="186"/>
      <c r="DH33" s="186"/>
      <c r="DI33" s="186"/>
      <c r="DJ33" s="186"/>
      <c r="DK33" s="186"/>
      <c r="DL33" s="186"/>
      <c r="DM33" s="186"/>
      <c r="DN33" s="186"/>
      <c r="DO33" s="186"/>
      <c r="DP33" s="186"/>
      <c r="DQ33" s="186"/>
      <c r="DR33" s="186"/>
      <c r="DS33" s="186"/>
      <c r="DT33" s="186"/>
      <c r="DU33" s="186"/>
      <c r="DV33" s="186"/>
      <c r="DW33" s="186"/>
      <c r="DX33" s="186"/>
      <c r="DY33" s="186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6"/>
      <c r="EK33" s="186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6"/>
      <c r="EW33" s="186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6"/>
      <c r="FI33" s="186"/>
      <c r="FJ33" s="186"/>
      <c r="FK33" s="186"/>
      <c r="FL33" s="186"/>
      <c r="FM33" s="186"/>
      <c r="FN33" s="186"/>
      <c r="FO33" s="186"/>
      <c r="FP33" s="186"/>
      <c r="FQ33" s="186"/>
      <c r="FR33" s="186"/>
      <c r="FS33" s="186"/>
      <c r="FT33" s="186"/>
      <c r="FU33" s="186"/>
      <c r="FV33" s="186"/>
      <c r="FW33" s="186"/>
      <c r="FX33" s="186"/>
      <c r="FY33" s="186"/>
      <c r="FZ33" s="186"/>
      <c r="GA33" s="186"/>
      <c r="GB33" s="186"/>
      <c r="GC33" s="186"/>
      <c r="GD33" s="186"/>
      <c r="GE33" s="186"/>
      <c r="GF33" s="186"/>
      <c r="GG33" s="186"/>
      <c r="GH33" s="186"/>
      <c r="GI33" s="186"/>
      <c r="GJ33" s="186"/>
      <c r="GK33" s="186"/>
      <c r="GL33" s="186"/>
      <c r="GM33" s="186"/>
      <c r="GN33" s="186"/>
      <c r="GO33" s="186"/>
      <c r="GP33" s="186"/>
      <c r="GQ33" s="186"/>
      <c r="GR33" s="186"/>
      <c r="GS33" s="186"/>
      <c r="GT33" s="186"/>
      <c r="GU33" s="186"/>
      <c r="GV33" s="186"/>
      <c r="GW33" s="186"/>
      <c r="GX33" s="186"/>
      <c r="GY33" s="186"/>
      <c r="GZ33" s="186"/>
      <c r="HA33" s="186"/>
      <c r="HB33" s="186"/>
      <c r="HC33" s="186"/>
      <c r="HD33" s="186"/>
      <c r="HE33" s="186"/>
      <c r="HF33" s="186"/>
      <c r="HG33" s="186"/>
      <c r="HH33" s="186"/>
      <c r="HI33" s="186"/>
      <c r="HJ33" s="186"/>
      <c r="HK33" s="186"/>
      <c r="HL33" s="186"/>
      <c r="HM33" s="186"/>
      <c r="HN33" s="186"/>
      <c r="HO33" s="186"/>
      <c r="HP33" s="186"/>
      <c r="HQ33" s="186"/>
      <c r="HR33" s="186"/>
      <c r="HS33" s="186"/>
      <c r="HT33" s="186"/>
      <c r="HU33" s="186"/>
      <c r="HV33" s="186"/>
      <c r="HW33" s="186"/>
      <c r="HX33" s="186"/>
      <c r="HY33" s="186"/>
      <c r="HZ33" s="186"/>
      <c r="IA33" s="186"/>
      <c r="IB33" s="186"/>
      <c r="IC33" s="186"/>
      <c r="ID33" s="186"/>
      <c r="IE33" s="186"/>
      <c r="IF33" s="186"/>
      <c r="IG33" s="186"/>
      <c r="IH33" s="186"/>
      <c r="II33" s="186"/>
      <c r="IJ33" s="186"/>
      <c r="IK33" s="186"/>
      <c r="IL33" s="186"/>
      <c r="IM33" s="186"/>
      <c r="IN33" s="186"/>
      <c r="IO33" s="186"/>
      <c r="IP33" s="186"/>
      <c r="IQ33" s="186"/>
      <c r="IR33" s="186"/>
      <c r="IS33" s="186"/>
      <c r="IT33" s="186"/>
      <c r="IU33" s="186"/>
    </row>
    <row r="34" spans="1:255" s="43" customFormat="1" ht="36" x14ac:dyDescent="0.2">
      <c r="A34" s="194">
        <v>29</v>
      </c>
      <c r="B34" s="195" t="s">
        <v>653</v>
      </c>
      <c r="C34" s="195" t="s">
        <v>725</v>
      </c>
      <c r="D34" s="195" t="s">
        <v>537</v>
      </c>
      <c r="E34" s="196">
        <f t="shared" si="0"/>
        <v>99.450000000000017</v>
      </c>
      <c r="F34" s="309" t="s">
        <v>910</v>
      </c>
      <c r="G34" s="310"/>
      <c r="H34" s="199" t="s">
        <v>726</v>
      </c>
      <c r="I34" s="199" t="s">
        <v>471</v>
      </c>
      <c r="N34" s="186"/>
      <c r="O34" s="186">
        <f t="shared" si="1"/>
        <v>99.450000000000017</v>
      </c>
      <c r="P34" s="186">
        <f>[5]Source!I286</f>
        <v>99.450000000000017</v>
      </c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6"/>
      <c r="EE34" s="186"/>
      <c r="EF34" s="186"/>
      <c r="EG34" s="186"/>
      <c r="EH34" s="186"/>
      <c r="EI34" s="186"/>
      <c r="EJ34" s="186"/>
      <c r="EK34" s="186"/>
      <c r="EL34" s="186"/>
      <c r="EM34" s="186"/>
      <c r="EN34" s="186"/>
      <c r="EO34" s="186"/>
      <c r="EP34" s="186"/>
      <c r="EQ34" s="186"/>
      <c r="ER34" s="186"/>
      <c r="ES34" s="186"/>
      <c r="ET34" s="186"/>
      <c r="EU34" s="186"/>
      <c r="EV34" s="186"/>
      <c r="EW34" s="186"/>
      <c r="EX34" s="186"/>
      <c r="EY34" s="186"/>
      <c r="EZ34" s="186"/>
      <c r="FA34" s="186"/>
      <c r="FB34" s="186"/>
      <c r="FC34" s="186"/>
      <c r="FD34" s="186"/>
      <c r="FE34" s="186"/>
      <c r="FF34" s="186"/>
      <c r="FG34" s="186"/>
      <c r="FH34" s="186"/>
      <c r="FI34" s="186"/>
      <c r="FJ34" s="186"/>
      <c r="FK34" s="186"/>
      <c r="FL34" s="186"/>
      <c r="FM34" s="186"/>
      <c r="FN34" s="186"/>
      <c r="FO34" s="186"/>
      <c r="FP34" s="186"/>
      <c r="FQ34" s="186"/>
      <c r="FR34" s="186"/>
      <c r="FS34" s="186"/>
      <c r="FT34" s="186"/>
      <c r="FU34" s="186"/>
      <c r="FV34" s="186"/>
      <c r="FW34" s="186"/>
      <c r="FX34" s="186"/>
      <c r="FY34" s="186"/>
      <c r="FZ34" s="186"/>
      <c r="GA34" s="186"/>
      <c r="GB34" s="186"/>
      <c r="GC34" s="186"/>
      <c r="GD34" s="186"/>
      <c r="GE34" s="186"/>
      <c r="GF34" s="186"/>
      <c r="GG34" s="186"/>
      <c r="GH34" s="186"/>
      <c r="GI34" s="186"/>
      <c r="GJ34" s="186"/>
      <c r="GK34" s="186"/>
      <c r="GL34" s="186"/>
      <c r="GM34" s="186"/>
      <c r="GN34" s="186"/>
      <c r="GO34" s="186"/>
      <c r="GP34" s="186"/>
      <c r="GQ34" s="186"/>
      <c r="GR34" s="186"/>
      <c r="GS34" s="186"/>
      <c r="GT34" s="186"/>
      <c r="GU34" s="186"/>
      <c r="GV34" s="186"/>
      <c r="GW34" s="186"/>
      <c r="GX34" s="186"/>
      <c r="GY34" s="186"/>
      <c r="GZ34" s="186"/>
      <c r="HA34" s="186"/>
      <c r="HB34" s="186"/>
      <c r="HC34" s="186"/>
      <c r="HD34" s="186"/>
      <c r="HE34" s="186"/>
      <c r="HF34" s="186"/>
      <c r="HG34" s="186"/>
      <c r="HH34" s="186"/>
      <c r="HI34" s="186"/>
      <c r="HJ34" s="186"/>
      <c r="HK34" s="186"/>
      <c r="HL34" s="186"/>
      <c r="HM34" s="186"/>
      <c r="HN34" s="186"/>
      <c r="HO34" s="186"/>
      <c r="HP34" s="186"/>
      <c r="HQ34" s="186"/>
      <c r="HR34" s="186"/>
      <c r="HS34" s="186"/>
      <c r="HT34" s="186"/>
      <c r="HU34" s="186"/>
      <c r="HV34" s="186"/>
      <c r="HW34" s="186"/>
      <c r="HX34" s="186"/>
      <c r="HY34" s="186"/>
      <c r="HZ34" s="186"/>
      <c r="IA34" s="186"/>
      <c r="IB34" s="186"/>
      <c r="IC34" s="186"/>
      <c r="ID34" s="186"/>
      <c r="IE34" s="186"/>
      <c r="IF34" s="186"/>
      <c r="IG34" s="186"/>
      <c r="IH34" s="186"/>
      <c r="II34" s="186"/>
      <c r="IJ34" s="186"/>
      <c r="IK34" s="186"/>
      <c r="IL34" s="186"/>
      <c r="IM34" s="186"/>
      <c r="IN34" s="186"/>
      <c r="IO34" s="186"/>
      <c r="IP34" s="186"/>
      <c r="IQ34" s="186"/>
      <c r="IR34" s="186"/>
      <c r="IS34" s="186"/>
      <c r="IT34" s="186"/>
      <c r="IU34" s="186"/>
    </row>
    <row r="35" spans="1:255" s="43" customFormat="1" ht="24" x14ac:dyDescent="0.2">
      <c r="A35" s="194">
        <v>30</v>
      </c>
      <c r="B35" s="195" t="s">
        <v>653</v>
      </c>
      <c r="C35" s="195" t="s">
        <v>727</v>
      </c>
      <c r="D35" s="195" t="s">
        <v>537</v>
      </c>
      <c r="E35" s="196">
        <f t="shared" si="0"/>
        <v>762.5</v>
      </c>
      <c r="F35" s="309" t="s">
        <v>910</v>
      </c>
      <c r="G35" s="310"/>
      <c r="H35" s="199" t="s">
        <v>728</v>
      </c>
      <c r="I35" s="199" t="s">
        <v>471</v>
      </c>
      <c r="N35" s="186"/>
      <c r="O35" s="186">
        <f t="shared" si="1"/>
        <v>762.5</v>
      </c>
      <c r="P35" s="186">
        <f>[5]Source!I144</f>
        <v>762.5</v>
      </c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  <c r="CP35" s="186"/>
      <c r="CQ35" s="186"/>
      <c r="CR35" s="186"/>
      <c r="CS35" s="186"/>
      <c r="CT35" s="186"/>
      <c r="CU35" s="186"/>
      <c r="CV35" s="186"/>
      <c r="CW35" s="186"/>
      <c r="CX35" s="186"/>
      <c r="CY35" s="186"/>
      <c r="CZ35" s="186"/>
      <c r="DA35" s="186"/>
      <c r="DB35" s="186"/>
      <c r="DC35" s="186"/>
      <c r="DD35" s="186"/>
      <c r="DE35" s="186"/>
      <c r="DF35" s="186"/>
      <c r="DG35" s="186"/>
      <c r="DH35" s="186"/>
      <c r="DI35" s="186"/>
      <c r="DJ35" s="186"/>
      <c r="DK35" s="186"/>
      <c r="DL35" s="186"/>
      <c r="DM35" s="186"/>
      <c r="DN35" s="186"/>
      <c r="DO35" s="186"/>
      <c r="DP35" s="186"/>
      <c r="DQ35" s="186"/>
      <c r="DR35" s="186"/>
      <c r="DS35" s="186"/>
      <c r="DT35" s="186"/>
      <c r="DU35" s="186"/>
      <c r="DV35" s="186"/>
      <c r="DW35" s="186"/>
      <c r="DX35" s="186"/>
      <c r="DY35" s="186"/>
      <c r="DZ35" s="186"/>
      <c r="EA35" s="186"/>
      <c r="EB35" s="186"/>
      <c r="EC35" s="186"/>
      <c r="ED35" s="186"/>
      <c r="EE35" s="186"/>
      <c r="EF35" s="186"/>
      <c r="EG35" s="186"/>
      <c r="EH35" s="186"/>
      <c r="EI35" s="186"/>
      <c r="EJ35" s="186"/>
      <c r="EK35" s="186"/>
      <c r="EL35" s="186"/>
      <c r="EM35" s="186"/>
      <c r="EN35" s="186"/>
      <c r="EO35" s="186"/>
      <c r="EP35" s="186"/>
      <c r="EQ35" s="186"/>
      <c r="ER35" s="186"/>
      <c r="ES35" s="186"/>
      <c r="ET35" s="186"/>
      <c r="EU35" s="186"/>
      <c r="EV35" s="186"/>
      <c r="EW35" s="186"/>
      <c r="EX35" s="186"/>
      <c r="EY35" s="186"/>
      <c r="EZ35" s="186"/>
      <c r="FA35" s="186"/>
      <c r="FB35" s="186"/>
      <c r="FC35" s="186"/>
      <c r="FD35" s="186"/>
      <c r="FE35" s="186"/>
      <c r="FF35" s="186"/>
      <c r="FG35" s="186"/>
      <c r="FH35" s="186"/>
      <c r="FI35" s="186"/>
      <c r="FJ35" s="186"/>
      <c r="FK35" s="186"/>
      <c r="FL35" s="186"/>
      <c r="FM35" s="186"/>
      <c r="FN35" s="186"/>
      <c r="FO35" s="186"/>
      <c r="FP35" s="186"/>
      <c r="FQ35" s="186"/>
      <c r="FR35" s="186"/>
      <c r="FS35" s="186"/>
      <c r="FT35" s="186"/>
      <c r="FU35" s="186"/>
      <c r="FV35" s="186"/>
      <c r="FW35" s="186"/>
      <c r="FX35" s="186"/>
      <c r="FY35" s="186"/>
      <c r="FZ35" s="186"/>
      <c r="GA35" s="186"/>
      <c r="GB35" s="186"/>
      <c r="GC35" s="186"/>
      <c r="GD35" s="186"/>
      <c r="GE35" s="186"/>
      <c r="GF35" s="186"/>
      <c r="GG35" s="186"/>
      <c r="GH35" s="186"/>
      <c r="GI35" s="186"/>
      <c r="GJ35" s="186"/>
      <c r="GK35" s="186"/>
      <c r="GL35" s="186"/>
      <c r="GM35" s="186"/>
      <c r="GN35" s="186"/>
      <c r="GO35" s="186"/>
      <c r="GP35" s="186"/>
      <c r="GQ35" s="186"/>
      <c r="GR35" s="186"/>
      <c r="GS35" s="186"/>
      <c r="GT35" s="186"/>
      <c r="GU35" s="186"/>
      <c r="GV35" s="186"/>
      <c r="GW35" s="186"/>
      <c r="GX35" s="186"/>
      <c r="GY35" s="186"/>
      <c r="GZ35" s="186"/>
      <c r="HA35" s="186"/>
      <c r="HB35" s="186"/>
      <c r="HC35" s="186"/>
      <c r="HD35" s="186"/>
      <c r="HE35" s="186"/>
      <c r="HF35" s="186"/>
      <c r="HG35" s="186"/>
      <c r="HH35" s="186"/>
      <c r="HI35" s="186"/>
      <c r="HJ35" s="186"/>
      <c r="HK35" s="186"/>
      <c r="HL35" s="186"/>
      <c r="HM35" s="186"/>
      <c r="HN35" s="186"/>
      <c r="HO35" s="186"/>
      <c r="HP35" s="186"/>
      <c r="HQ35" s="186"/>
      <c r="HR35" s="186"/>
      <c r="HS35" s="186"/>
      <c r="HT35" s="186"/>
      <c r="HU35" s="186"/>
      <c r="HV35" s="186"/>
      <c r="HW35" s="186"/>
      <c r="HX35" s="186"/>
      <c r="HY35" s="186"/>
      <c r="HZ35" s="186"/>
      <c r="IA35" s="186"/>
      <c r="IB35" s="186"/>
      <c r="IC35" s="186"/>
      <c r="ID35" s="186"/>
      <c r="IE35" s="186"/>
      <c r="IF35" s="186"/>
      <c r="IG35" s="186"/>
      <c r="IH35" s="186"/>
      <c r="II35" s="186"/>
      <c r="IJ35" s="186"/>
      <c r="IK35" s="186"/>
      <c r="IL35" s="186"/>
      <c r="IM35" s="186"/>
      <c r="IN35" s="186"/>
      <c r="IO35" s="186"/>
      <c r="IP35" s="186"/>
      <c r="IQ35" s="186"/>
      <c r="IR35" s="186"/>
      <c r="IS35" s="186"/>
      <c r="IT35" s="186"/>
      <c r="IU35" s="186"/>
    </row>
    <row r="36" spans="1:255" s="43" customFormat="1" ht="24" x14ac:dyDescent="0.2">
      <c r="A36" s="194">
        <v>32</v>
      </c>
      <c r="B36" s="195" t="s">
        <v>705</v>
      </c>
      <c r="C36" s="195" t="s">
        <v>729</v>
      </c>
      <c r="D36" s="195" t="s">
        <v>551</v>
      </c>
      <c r="E36" s="196">
        <f t="shared" si="0"/>
        <v>16046.625</v>
      </c>
      <c r="F36" s="309" t="s">
        <v>910</v>
      </c>
      <c r="G36" s="310"/>
      <c r="H36" s="199" t="s">
        <v>730</v>
      </c>
      <c r="I36" s="199" t="s">
        <v>471</v>
      </c>
      <c r="N36" s="186"/>
      <c r="O36" s="186">
        <f t="shared" si="1"/>
        <v>16046.625</v>
      </c>
      <c r="P36" s="186">
        <f>[5]Source!I556</f>
        <v>6300</v>
      </c>
      <c r="Q36" s="186">
        <f>[5]Source!I645</f>
        <v>2933</v>
      </c>
      <c r="R36" s="186">
        <f>[5]Source!I734</f>
        <v>6813.625</v>
      </c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6"/>
      <c r="DP36" s="186"/>
      <c r="DQ36" s="186"/>
      <c r="DR36" s="186"/>
      <c r="DS36" s="186"/>
      <c r="DT36" s="186"/>
      <c r="DU36" s="186"/>
      <c r="DV36" s="186"/>
      <c r="DW36" s="186"/>
      <c r="DX36" s="186"/>
      <c r="DY36" s="186"/>
      <c r="DZ36" s="186"/>
      <c r="EA36" s="186"/>
      <c r="EB36" s="186"/>
      <c r="EC36" s="186"/>
      <c r="ED36" s="186"/>
      <c r="EE36" s="186"/>
      <c r="EF36" s="186"/>
      <c r="EG36" s="186"/>
      <c r="EH36" s="186"/>
      <c r="EI36" s="186"/>
      <c r="EJ36" s="186"/>
      <c r="EK36" s="186"/>
      <c r="EL36" s="186"/>
      <c r="EM36" s="186"/>
      <c r="EN36" s="186"/>
      <c r="EO36" s="186"/>
      <c r="EP36" s="186"/>
      <c r="EQ36" s="186"/>
      <c r="ER36" s="186"/>
      <c r="ES36" s="186"/>
      <c r="ET36" s="186"/>
      <c r="EU36" s="186"/>
      <c r="EV36" s="186"/>
      <c r="EW36" s="186"/>
      <c r="EX36" s="186"/>
      <c r="EY36" s="186"/>
      <c r="EZ36" s="186"/>
      <c r="FA36" s="186"/>
      <c r="FB36" s="186"/>
      <c r="FC36" s="186"/>
      <c r="FD36" s="186"/>
      <c r="FE36" s="186"/>
      <c r="FF36" s="186"/>
      <c r="FG36" s="186"/>
      <c r="FH36" s="186"/>
      <c r="FI36" s="186"/>
      <c r="FJ36" s="186"/>
      <c r="FK36" s="186"/>
      <c r="FL36" s="186"/>
      <c r="FM36" s="186"/>
      <c r="FN36" s="186"/>
      <c r="FO36" s="186"/>
      <c r="FP36" s="186"/>
      <c r="FQ36" s="186"/>
      <c r="FR36" s="186"/>
      <c r="FS36" s="186"/>
      <c r="FT36" s="186"/>
      <c r="FU36" s="186"/>
      <c r="FV36" s="186"/>
      <c r="FW36" s="186"/>
      <c r="FX36" s="186"/>
      <c r="FY36" s="186"/>
      <c r="FZ36" s="186"/>
      <c r="GA36" s="186"/>
      <c r="GB36" s="186"/>
      <c r="GC36" s="186"/>
      <c r="GD36" s="186"/>
      <c r="GE36" s="186"/>
      <c r="GF36" s="186"/>
      <c r="GG36" s="186"/>
      <c r="GH36" s="186"/>
      <c r="GI36" s="186"/>
      <c r="GJ36" s="186"/>
      <c r="GK36" s="186"/>
      <c r="GL36" s="186"/>
      <c r="GM36" s="186"/>
      <c r="GN36" s="186"/>
      <c r="GO36" s="186"/>
      <c r="GP36" s="186"/>
      <c r="GQ36" s="186"/>
      <c r="GR36" s="186"/>
      <c r="GS36" s="186"/>
      <c r="GT36" s="186"/>
      <c r="GU36" s="186"/>
      <c r="GV36" s="186"/>
      <c r="GW36" s="186"/>
      <c r="GX36" s="186"/>
      <c r="GY36" s="186"/>
      <c r="GZ36" s="186"/>
      <c r="HA36" s="186"/>
      <c r="HB36" s="186"/>
      <c r="HC36" s="186"/>
      <c r="HD36" s="186"/>
      <c r="HE36" s="186"/>
      <c r="HF36" s="186"/>
      <c r="HG36" s="186"/>
      <c r="HH36" s="186"/>
      <c r="HI36" s="186"/>
      <c r="HJ36" s="186"/>
      <c r="HK36" s="186"/>
      <c r="HL36" s="186"/>
      <c r="HM36" s="186"/>
      <c r="HN36" s="186"/>
      <c r="HO36" s="186"/>
      <c r="HP36" s="186"/>
      <c r="HQ36" s="186"/>
      <c r="HR36" s="186"/>
      <c r="HS36" s="186"/>
      <c r="HT36" s="186"/>
      <c r="HU36" s="186"/>
      <c r="HV36" s="186"/>
      <c r="HW36" s="186"/>
      <c r="HX36" s="186"/>
      <c r="HY36" s="186"/>
      <c r="HZ36" s="186"/>
      <c r="IA36" s="186"/>
      <c r="IB36" s="186"/>
      <c r="IC36" s="186"/>
      <c r="ID36" s="186"/>
      <c r="IE36" s="186"/>
      <c r="IF36" s="186"/>
      <c r="IG36" s="186"/>
      <c r="IH36" s="186"/>
      <c r="II36" s="186"/>
      <c r="IJ36" s="186"/>
      <c r="IK36" s="186"/>
      <c r="IL36" s="186"/>
      <c r="IM36" s="186"/>
      <c r="IN36" s="186"/>
      <c r="IO36" s="186"/>
      <c r="IP36" s="186"/>
      <c r="IQ36" s="186"/>
      <c r="IR36" s="186"/>
      <c r="IS36" s="186"/>
      <c r="IT36" s="186"/>
      <c r="IU36" s="186"/>
    </row>
    <row r="37" spans="1:255" s="43" customFormat="1" ht="24" x14ac:dyDescent="0.2">
      <c r="A37" s="194">
        <v>33</v>
      </c>
      <c r="B37" s="195" t="s">
        <v>731</v>
      </c>
      <c r="C37" s="195" t="s">
        <v>732</v>
      </c>
      <c r="D37" s="195" t="s">
        <v>551</v>
      </c>
      <c r="E37" s="196">
        <f t="shared" si="0"/>
        <v>614.5</v>
      </c>
      <c r="F37" s="309" t="s">
        <v>910</v>
      </c>
      <c r="G37" s="310"/>
      <c r="H37" s="199" t="s">
        <v>733</v>
      </c>
      <c r="I37" s="199" t="s">
        <v>471</v>
      </c>
      <c r="N37" s="186"/>
      <c r="O37" s="186">
        <f t="shared" si="1"/>
        <v>614.5</v>
      </c>
      <c r="P37" s="186">
        <f>[5]Source!I552</f>
        <v>360</v>
      </c>
      <c r="Q37" s="186">
        <f>[5]Source!I641</f>
        <v>104.75</v>
      </c>
      <c r="R37" s="186">
        <f>[5]Source!I730</f>
        <v>149.75</v>
      </c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6"/>
      <c r="DP37" s="186"/>
      <c r="DQ37" s="186"/>
      <c r="DR37" s="186"/>
      <c r="DS37" s="186"/>
      <c r="DT37" s="186"/>
      <c r="DU37" s="186"/>
      <c r="DV37" s="186"/>
      <c r="DW37" s="186"/>
      <c r="DX37" s="186"/>
      <c r="DY37" s="186"/>
      <c r="DZ37" s="186"/>
      <c r="EA37" s="186"/>
      <c r="EB37" s="186"/>
      <c r="EC37" s="186"/>
      <c r="ED37" s="186"/>
      <c r="EE37" s="186"/>
      <c r="EF37" s="186"/>
      <c r="EG37" s="186"/>
      <c r="EH37" s="186"/>
      <c r="EI37" s="186"/>
      <c r="EJ37" s="186"/>
      <c r="EK37" s="186"/>
      <c r="EL37" s="186"/>
      <c r="EM37" s="186"/>
      <c r="EN37" s="186"/>
      <c r="EO37" s="186"/>
      <c r="EP37" s="186"/>
      <c r="EQ37" s="186"/>
      <c r="ER37" s="186"/>
      <c r="ES37" s="186"/>
      <c r="ET37" s="186"/>
      <c r="EU37" s="186"/>
      <c r="EV37" s="186"/>
      <c r="EW37" s="186"/>
      <c r="EX37" s="186"/>
      <c r="EY37" s="186"/>
      <c r="EZ37" s="186"/>
      <c r="FA37" s="186"/>
      <c r="FB37" s="186"/>
      <c r="FC37" s="186"/>
      <c r="FD37" s="186"/>
      <c r="FE37" s="186"/>
      <c r="FF37" s="186"/>
      <c r="FG37" s="186"/>
      <c r="FH37" s="186"/>
      <c r="FI37" s="186"/>
      <c r="FJ37" s="186"/>
      <c r="FK37" s="186"/>
      <c r="FL37" s="186"/>
      <c r="FM37" s="186"/>
      <c r="FN37" s="186"/>
      <c r="FO37" s="186"/>
      <c r="FP37" s="186"/>
      <c r="FQ37" s="186"/>
      <c r="FR37" s="186"/>
      <c r="FS37" s="186"/>
      <c r="FT37" s="186"/>
      <c r="FU37" s="186"/>
      <c r="FV37" s="186"/>
      <c r="FW37" s="186"/>
      <c r="FX37" s="186"/>
      <c r="FY37" s="186"/>
      <c r="FZ37" s="186"/>
      <c r="GA37" s="186"/>
      <c r="GB37" s="186"/>
      <c r="GC37" s="186"/>
      <c r="GD37" s="186"/>
      <c r="GE37" s="186"/>
      <c r="GF37" s="186"/>
      <c r="GG37" s="186"/>
      <c r="GH37" s="186"/>
      <c r="GI37" s="186"/>
      <c r="GJ37" s="186"/>
      <c r="GK37" s="186"/>
      <c r="GL37" s="186"/>
      <c r="GM37" s="186"/>
      <c r="GN37" s="186"/>
      <c r="GO37" s="186"/>
      <c r="GP37" s="186"/>
      <c r="GQ37" s="186"/>
      <c r="GR37" s="186"/>
      <c r="GS37" s="186"/>
      <c r="GT37" s="186"/>
      <c r="GU37" s="186"/>
      <c r="GV37" s="186"/>
      <c r="GW37" s="186"/>
      <c r="GX37" s="186"/>
      <c r="GY37" s="186"/>
      <c r="GZ37" s="186"/>
      <c r="HA37" s="186"/>
      <c r="HB37" s="186"/>
      <c r="HC37" s="186"/>
      <c r="HD37" s="186"/>
      <c r="HE37" s="186"/>
      <c r="HF37" s="186"/>
      <c r="HG37" s="186"/>
      <c r="HH37" s="186"/>
      <c r="HI37" s="186"/>
      <c r="HJ37" s="186"/>
      <c r="HK37" s="186"/>
      <c r="HL37" s="186"/>
      <c r="HM37" s="186"/>
      <c r="HN37" s="186"/>
      <c r="HO37" s="186"/>
      <c r="HP37" s="186"/>
      <c r="HQ37" s="186"/>
      <c r="HR37" s="186"/>
      <c r="HS37" s="186"/>
      <c r="HT37" s="186"/>
      <c r="HU37" s="186"/>
      <c r="HV37" s="186"/>
      <c r="HW37" s="186"/>
      <c r="HX37" s="186"/>
      <c r="HY37" s="186"/>
      <c r="HZ37" s="186"/>
      <c r="IA37" s="186"/>
      <c r="IB37" s="186"/>
      <c r="IC37" s="186"/>
      <c r="ID37" s="186"/>
      <c r="IE37" s="186"/>
      <c r="IF37" s="186"/>
      <c r="IG37" s="186"/>
      <c r="IH37" s="186"/>
      <c r="II37" s="186"/>
      <c r="IJ37" s="186"/>
      <c r="IK37" s="186"/>
      <c r="IL37" s="186"/>
      <c r="IM37" s="186"/>
      <c r="IN37" s="186"/>
      <c r="IO37" s="186"/>
      <c r="IP37" s="186"/>
      <c r="IQ37" s="186"/>
      <c r="IR37" s="186"/>
      <c r="IS37" s="186"/>
      <c r="IT37" s="186"/>
      <c r="IU37" s="186"/>
    </row>
    <row r="38" spans="1:255" s="43" customFormat="1" ht="36" x14ac:dyDescent="0.2">
      <c r="A38" s="194">
        <v>35</v>
      </c>
      <c r="B38" s="195" t="s">
        <v>599</v>
      </c>
      <c r="C38" s="195" t="s">
        <v>598</v>
      </c>
      <c r="D38" s="195" t="s">
        <v>33</v>
      </c>
      <c r="E38" s="196">
        <f t="shared" si="0"/>
        <v>2.4354849999999999</v>
      </c>
      <c r="F38" s="309" t="s">
        <v>910</v>
      </c>
      <c r="G38" s="310"/>
      <c r="H38" s="199" t="s">
        <v>734</v>
      </c>
      <c r="I38" s="199" t="s">
        <v>471</v>
      </c>
      <c r="N38" s="186"/>
      <c r="O38" s="186">
        <f t="shared" si="1"/>
        <v>2.4354849999999999</v>
      </c>
      <c r="P38" s="186">
        <f>[5]Source!I548</f>
        <v>1.0569599999999999</v>
      </c>
      <c r="Q38" s="186">
        <f>[5]Source!I637</f>
        <v>0.30754599999999999</v>
      </c>
      <c r="R38" s="186">
        <f>[5]Source!I726</f>
        <v>0.439666</v>
      </c>
      <c r="S38" s="186">
        <f>[5]Source!I1045</f>
        <v>0.54095800000000005</v>
      </c>
      <c r="T38" s="186">
        <f>[5]Source!I1120</f>
        <v>3.5598999999999999E-2</v>
      </c>
      <c r="U38" s="186">
        <f>[5]Source!I1195</f>
        <v>5.4755999999999999E-2</v>
      </c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186"/>
      <c r="FL38" s="186"/>
      <c r="FM38" s="186"/>
      <c r="FN38" s="186"/>
      <c r="FO38" s="186"/>
      <c r="FP38" s="186"/>
      <c r="FQ38" s="186"/>
      <c r="FR38" s="186"/>
      <c r="FS38" s="186"/>
      <c r="FT38" s="186"/>
      <c r="FU38" s="186"/>
      <c r="FV38" s="186"/>
      <c r="FW38" s="186"/>
      <c r="FX38" s="186"/>
      <c r="FY38" s="186"/>
      <c r="FZ38" s="186"/>
      <c r="GA38" s="186"/>
      <c r="GB38" s="186"/>
      <c r="GC38" s="186"/>
      <c r="GD38" s="186"/>
      <c r="GE38" s="186"/>
      <c r="GF38" s="186"/>
      <c r="GG38" s="186"/>
      <c r="GH38" s="186"/>
      <c r="GI38" s="186"/>
      <c r="GJ38" s="186"/>
      <c r="GK38" s="186"/>
      <c r="GL38" s="186"/>
      <c r="GM38" s="186"/>
      <c r="GN38" s="186"/>
      <c r="GO38" s="186"/>
      <c r="GP38" s="186"/>
      <c r="GQ38" s="186"/>
      <c r="GR38" s="186"/>
      <c r="GS38" s="186"/>
      <c r="GT38" s="186"/>
      <c r="GU38" s="186"/>
      <c r="GV38" s="186"/>
      <c r="GW38" s="186"/>
      <c r="GX38" s="186"/>
      <c r="GY38" s="186"/>
      <c r="GZ38" s="186"/>
      <c r="HA38" s="186"/>
      <c r="HB38" s="186"/>
      <c r="HC38" s="186"/>
      <c r="HD38" s="186"/>
      <c r="HE38" s="186"/>
      <c r="HF38" s="186"/>
      <c r="HG38" s="186"/>
      <c r="HH38" s="186"/>
      <c r="HI38" s="186"/>
      <c r="HJ38" s="186"/>
      <c r="HK38" s="186"/>
      <c r="HL38" s="186"/>
      <c r="HM38" s="186"/>
      <c r="HN38" s="186"/>
      <c r="HO38" s="186"/>
      <c r="HP38" s="186"/>
      <c r="HQ38" s="186"/>
      <c r="HR38" s="186"/>
      <c r="HS38" s="186"/>
      <c r="HT38" s="186"/>
      <c r="HU38" s="186"/>
      <c r="HV38" s="186"/>
      <c r="HW38" s="186"/>
      <c r="HX38" s="186"/>
      <c r="HY38" s="186"/>
      <c r="HZ38" s="186"/>
      <c r="IA38" s="186"/>
      <c r="IB38" s="186"/>
      <c r="IC38" s="186"/>
      <c r="ID38" s="186"/>
      <c r="IE38" s="186"/>
      <c r="IF38" s="186"/>
      <c r="IG38" s="186"/>
      <c r="IH38" s="186"/>
      <c r="II38" s="186"/>
      <c r="IJ38" s="186"/>
      <c r="IK38" s="186"/>
      <c r="IL38" s="186"/>
      <c r="IM38" s="186"/>
      <c r="IN38" s="186"/>
      <c r="IO38" s="186"/>
      <c r="IP38" s="186"/>
      <c r="IQ38" s="186"/>
      <c r="IR38" s="186"/>
      <c r="IS38" s="186"/>
      <c r="IT38" s="186"/>
      <c r="IU38" s="186"/>
    </row>
    <row r="39" spans="1:255" s="43" customFormat="1" ht="24" x14ac:dyDescent="0.2">
      <c r="A39" s="194">
        <v>36</v>
      </c>
      <c r="B39" s="195" t="s">
        <v>735</v>
      </c>
      <c r="C39" s="195" t="s">
        <v>736</v>
      </c>
      <c r="D39" s="195" t="s">
        <v>551</v>
      </c>
      <c r="E39" s="196">
        <f t="shared" si="0"/>
        <v>411.46920000000006</v>
      </c>
      <c r="F39" s="309" t="s">
        <v>910</v>
      </c>
      <c r="G39" s="310"/>
      <c r="H39" s="199" t="s">
        <v>737</v>
      </c>
      <c r="I39" s="199" t="s">
        <v>471</v>
      </c>
      <c r="N39" s="186"/>
      <c r="O39" s="186">
        <f t="shared" si="1"/>
        <v>411.46920000000006</v>
      </c>
      <c r="P39" s="186">
        <f>[5]Source!I560</f>
        <v>241.05600000000004</v>
      </c>
      <c r="Q39" s="186">
        <f>[5]Source!I649</f>
        <v>70.140600000000006</v>
      </c>
      <c r="R39" s="186">
        <f>[5]Source!I738</f>
        <v>100.2726</v>
      </c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  <c r="BI39" s="186"/>
      <c r="BJ39" s="186"/>
      <c r="BK39" s="186"/>
      <c r="BL39" s="186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  <c r="CP39" s="186"/>
      <c r="CQ39" s="186"/>
      <c r="CR39" s="186"/>
      <c r="CS39" s="186"/>
      <c r="CT39" s="186"/>
      <c r="CU39" s="186"/>
      <c r="CV39" s="186"/>
      <c r="CW39" s="186"/>
      <c r="CX39" s="186"/>
      <c r="CY39" s="186"/>
      <c r="CZ39" s="186"/>
      <c r="DA39" s="186"/>
      <c r="DB39" s="186"/>
      <c r="DC39" s="186"/>
      <c r="DD39" s="186"/>
      <c r="DE39" s="186"/>
      <c r="DF39" s="186"/>
      <c r="DG39" s="186"/>
      <c r="DH39" s="186"/>
      <c r="DI39" s="186"/>
      <c r="DJ39" s="186"/>
      <c r="DK39" s="186"/>
      <c r="DL39" s="186"/>
      <c r="DM39" s="186"/>
      <c r="DN39" s="186"/>
      <c r="DO39" s="186"/>
      <c r="DP39" s="186"/>
      <c r="DQ39" s="186"/>
      <c r="DR39" s="186"/>
      <c r="DS39" s="186"/>
      <c r="DT39" s="186"/>
      <c r="DU39" s="186"/>
      <c r="DV39" s="186"/>
      <c r="DW39" s="186"/>
      <c r="DX39" s="186"/>
      <c r="DY39" s="186"/>
      <c r="DZ39" s="186"/>
      <c r="EA39" s="186"/>
      <c r="EB39" s="186"/>
      <c r="EC39" s="186"/>
      <c r="ED39" s="186"/>
      <c r="EE39" s="186"/>
      <c r="EF39" s="186"/>
      <c r="EG39" s="186"/>
      <c r="EH39" s="186"/>
      <c r="EI39" s="186"/>
      <c r="EJ39" s="186"/>
      <c r="EK39" s="186"/>
      <c r="EL39" s="186"/>
      <c r="EM39" s="186"/>
      <c r="EN39" s="186"/>
      <c r="EO39" s="186"/>
      <c r="EP39" s="186"/>
      <c r="EQ39" s="186"/>
      <c r="ER39" s="186"/>
      <c r="ES39" s="186"/>
      <c r="ET39" s="186"/>
      <c r="EU39" s="186"/>
      <c r="EV39" s="186"/>
      <c r="EW39" s="186"/>
      <c r="EX39" s="186"/>
      <c r="EY39" s="186"/>
      <c r="EZ39" s="186"/>
      <c r="FA39" s="186"/>
      <c r="FB39" s="186"/>
      <c r="FC39" s="186"/>
      <c r="FD39" s="186"/>
      <c r="FE39" s="186"/>
      <c r="FF39" s="186"/>
      <c r="FG39" s="186"/>
      <c r="FH39" s="186"/>
      <c r="FI39" s="186"/>
      <c r="FJ39" s="186"/>
      <c r="FK39" s="186"/>
      <c r="FL39" s="186"/>
      <c r="FM39" s="186"/>
      <c r="FN39" s="186"/>
      <c r="FO39" s="186"/>
      <c r="FP39" s="186"/>
      <c r="FQ39" s="186"/>
      <c r="FR39" s="186"/>
      <c r="FS39" s="186"/>
      <c r="FT39" s="186"/>
      <c r="FU39" s="186"/>
      <c r="FV39" s="186"/>
      <c r="FW39" s="186"/>
      <c r="FX39" s="186"/>
      <c r="FY39" s="186"/>
      <c r="FZ39" s="186"/>
      <c r="GA39" s="186"/>
      <c r="GB39" s="186"/>
      <c r="GC39" s="186"/>
      <c r="GD39" s="186"/>
      <c r="GE39" s="186"/>
      <c r="GF39" s="186"/>
      <c r="GG39" s="186"/>
      <c r="GH39" s="186"/>
      <c r="GI39" s="186"/>
      <c r="GJ39" s="186"/>
      <c r="GK39" s="186"/>
      <c r="GL39" s="186"/>
      <c r="GM39" s="186"/>
      <c r="GN39" s="186"/>
      <c r="GO39" s="186"/>
      <c r="GP39" s="186"/>
      <c r="GQ39" s="186"/>
      <c r="GR39" s="186"/>
      <c r="GS39" s="186"/>
      <c r="GT39" s="186"/>
      <c r="GU39" s="186"/>
      <c r="GV39" s="186"/>
      <c r="GW39" s="186"/>
      <c r="GX39" s="186"/>
      <c r="GY39" s="186"/>
      <c r="GZ39" s="186"/>
      <c r="HA39" s="186"/>
      <c r="HB39" s="186"/>
      <c r="HC39" s="186"/>
      <c r="HD39" s="186"/>
      <c r="HE39" s="186"/>
      <c r="HF39" s="186"/>
      <c r="HG39" s="186"/>
      <c r="HH39" s="186"/>
      <c r="HI39" s="186"/>
      <c r="HJ39" s="186"/>
      <c r="HK39" s="186"/>
      <c r="HL39" s="186"/>
      <c r="HM39" s="186"/>
      <c r="HN39" s="186"/>
      <c r="HO39" s="186"/>
      <c r="HP39" s="186"/>
      <c r="HQ39" s="186"/>
      <c r="HR39" s="186"/>
      <c r="HS39" s="186"/>
      <c r="HT39" s="186"/>
      <c r="HU39" s="186"/>
      <c r="HV39" s="186"/>
      <c r="HW39" s="186"/>
      <c r="HX39" s="186"/>
      <c r="HY39" s="186"/>
      <c r="HZ39" s="186"/>
      <c r="IA39" s="186"/>
      <c r="IB39" s="186"/>
      <c r="IC39" s="186"/>
      <c r="ID39" s="186"/>
      <c r="IE39" s="186"/>
      <c r="IF39" s="186"/>
      <c r="IG39" s="186"/>
      <c r="IH39" s="186"/>
      <c r="II39" s="186"/>
      <c r="IJ39" s="186"/>
      <c r="IK39" s="186"/>
      <c r="IL39" s="186"/>
      <c r="IM39" s="186"/>
      <c r="IN39" s="186"/>
      <c r="IO39" s="186"/>
      <c r="IP39" s="186"/>
      <c r="IQ39" s="186"/>
      <c r="IR39" s="186"/>
      <c r="IS39" s="186"/>
      <c r="IT39" s="186"/>
      <c r="IU39" s="186"/>
    </row>
    <row r="40" spans="1:255" s="43" customFormat="1" ht="24" x14ac:dyDescent="0.2">
      <c r="A40" s="194">
        <v>38</v>
      </c>
      <c r="B40" s="195" t="s">
        <v>708</v>
      </c>
      <c r="C40" s="195" t="s">
        <v>738</v>
      </c>
      <c r="D40" s="195" t="s">
        <v>551</v>
      </c>
      <c r="E40" s="196">
        <f t="shared" si="0"/>
        <v>12816.626500000002</v>
      </c>
      <c r="F40" s="309" t="s">
        <v>910</v>
      </c>
      <c r="G40" s="310"/>
      <c r="H40" s="199" t="s">
        <v>739</v>
      </c>
      <c r="I40" s="199" t="s">
        <v>471</v>
      </c>
      <c r="N40" s="186"/>
      <c r="O40" s="186">
        <f t="shared" si="1"/>
        <v>12816.626500000002</v>
      </c>
      <c r="P40" s="186">
        <f>[5]Source!I558</f>
        <v>7508.5200000000013</v>
      </c>
      <c r="Q40" s="186">
        <f>[5]Source!I647</f>
        <v>2184.7707500000001</v>
      </c>
      <c r="R40" s="186">
        <f>[5]Source!I736</f>
        <v>3123.3357500000006</v>
      </c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  <c r="DO40" s="186"/>
      <c r="DP40" s="186"/>
      <c r="DQ40" s="186"/>
      <c r="DR40" s="186"/>
      <c r="DS40" s="186"/>
      <c r="DT40" s="186"/>
      <c r="DU40" s="186"/>
      <c r="DV40" s="186"/>
      <c r="DW40" s="186"/>
      <c r="DX40" s="186"/>
      <c r="DY40" s="186"/>
      <c r="DZ40" s="186"/>
      <c r="EA40" s="186"/>
      <c r="EB40" s="186"/>
      <c r="EC40" s="186"/>
      <c r="ED40" s="186"/>
      <c r="EE40" s="186"/>
      <c r="EF40" s="186"/>
      <c r="EG40" s="186"/>
      <c r="EH40" s="186"/>
      <c r="EI40" s="186"/>
      <c r="EJ40" s="186"/>
      <c r="EK40" s="186"/>
      <c r="EL40" s="186"/>
      <c r="EM40" s="186"/>
      <c r="EN40" s="186"/>
      <c r="EO40" s="186"/>
      <c r="EP40" s="186"/>
      <c r="EQ40" s="186"/>
      <c r="ER40" s="186"/>
      <c r="ES40" s="186"/>
      <c r="ET40" s="186"/>
      <c r="EU40" s="186"/>
      <c r="EV40" s="186"/>
      <c r="EW40" s="186"/>
      <c r="EX40" s="186"/>
      <c r="EY40" s="186"/>
      <c r="EZ40" s="186"/>
      <c r="FA40" s="186"/>
      <c r="FB40" s="186"/>
      <c r="FC40" s="186"/>
      <c r="FD40" s="186"/>
      <c r="FE40" s="186"/>
      <c r="FF40" s="186"/>
      <c r="FG40" s="186"/>
      <c r="FH40" s="186"/>
      <c r="FI40" s="186"/>
      <c r="FJ40" s="186"/>
      <c r="FK40" s="186"/>
      <c r="FL40" s="186"/>
      <c r="FM40" s="186"/>
      <c r="FN40" s="186"/>
      <c r="FO40" s="186"/>
      <c r="FP40" s="186"/>
      <c r="FQ40" s="186"/>
      <c r="FR40" s="186"/>
      <c r="FS40" s="186"/>
      <c r="FT40" s="186"/>
      <c r="FU40" s="186"/>
      <c r="FV40" s="186"/>
      <c r="FW40" s="186"/>
      <c r="FX40" s="186"/>
      <c r="FY40" s="186"/>
      <c r="FZ40" s="186"/>
      <c r="GA40" s="186"/>
      <c r="GB40" s="186"/>
      <c r="GC40" s="186"/>
      <c r="GD40" s="186"/>
      <c r="GE40" s="186"/>
      <c r="GF40" s="186"/>
      <c r="GG40" s="186"/>
      <c r="GH40" s="186"/>
      <c r="GI40" s="186"/>
      <c r="GJ40" s="186"/>
      <c r="GK40" s="186"/>
      <c r="GL40" s="186"/>
      <c r="GM40" s="186"/>
      <c r="GN40" s="186"/>
      <c r="GO40" s="186"/>
      <c r="GP40" s="186"/>
      <c r="GQ40" s="186"/>
      <c r="GR40" s="186"/>
      <c r="GS40" s="186"/>
      <c r="GT40" s="186"/>
      <c r="GU40" s="186"/>
      <c r="GV40" s="186"/>
      <c r="GW40" s="186"/>
      <c r="GX40" s="186"/>
      <c r="GY40" s="186"/>
      <c r="GZ40" s="186"/>
      <c r="HA40" s="186"/>
      <c r="HB40" s="186"/>
      <c r="HC40" s="186"/>
      <c r="HD40" s="186"/>
      <c r="HE40" s="186"/>
      <c r="HF40" s="186"/>
      <c r="HG40" s="186"/>
      <c r="HH40" s="186"/>
      <c r="HI40" s="186"/>
      <c r="HJ40" s="186"/>
      <c r="HK40" s="186"/>
      <c r="HL40" s="186"/>
      <c r="HM40" s="186"/>
      <c r="HN40" s="186"/>
      <c r="HO40" s="186"/>
      <c r="HP40" s="186"/>
      <c r="HQ40" s="186"/>
      <c r="HR40" s="186"/>
      <c r="HS40" s="186"/>
      <c r="HT40" s="186"/>
      <c r="HU40" s="186"/>
      <c r="HV40" s="186"/>
      <c r="HW40" s="186"/>
      <c r="HX40" s="186"/>
      <c r="HY40" s="186"/>
      <c r="HZ40" s="186"/>
      <c r="IA40" s="186"/>
      <c r="IB40" s="186"/>
      <c r="IC40" s="186"/>
      <c r="ID40" s="186"/>
      <c r="IE40" s="186"/>
      <c r="IF40" s="186"/>
      <c r="IG40" s="186"/>
      <c r="IH40" s="186"/>
      <c r="II40" s="186"/>
      <c r="IJ40" s="186"/>
      <c r="IK40" s="186"/>
      <c r="IL40" s="186"/>
      <c r="IM40" s="186"/>
      <c r="IN40" s="186"/>
      <c r="IO40" s="186"/>
      <c r="IP40" s="186"/>
      <c r="IQ40" s="186"/>
      <c r="IR40" s="186"/>
      <c r="IS40" s="186"/>
      <c r="IT40" s="186"/>
      <c r="IU40" s="186"/>
    </row>
    <row r="43" spans="1:255" hidden="1" x14ac:dyDescent="0.2">
      <c r="A43" s="175" t="s">
        <v>438</v>
      </c>
      <c r="B43" s="175"/>
      <c r="C43" s="264" t="s">
        <v>439</v>
      </c>
      <c r="D43" s="176"/>
      <c r="E43" s="176"/>
      <c r="F43" s="274" t="s">
        <v>440</v>
      </c>
      <c r="G43" s="274"/>
      <c r="BY43" s="177" t="str">
        <f>C43</f>
        <v>Начальник ПТС ООО "ОСУ-2"</v>
      </c>
      <c r="BZ43" s="177" t="str">
        <f>F43</f>
        <v>Когтев В.И.</v>
      </c>
      <c r="IU43" s="23"/>
    </row>
    <row r="44" spans="1:255" s="202" customFormat="1" ht="11.25" hidden="1" x14ac:dyDescent="0.2">
      <c r="A44" s="201"/>
      <c r="B44" s="201"/>
      <c r="C44" s="286" t="s">
        <v>434</v>
      </c>
      <c r="D44" s="286"/>
      <c r="E44" s="286"/>
      <c r="F44" s="286" t="s">
        <v>435</v>
      </c>
      <c r="G44" s="286"/>
    </row>
    <row r="45" spans="1:255" hidden="1" x14ac:dyDescent="0.2">
      <c r="A45" s="18"/>
      <c r="B45" s="18"/>
      <c r="C45" s="18"/>
      <c r="D45" s="11" t="s">
        <v>436</v>
      </c>
      <c r="E45" s="18"/>
      <c r="F45" s="18"/>
      <c r="G45" s="18"/>
    </row>
    <row r="46" spans="1:255" hidden="1" x14ac:dyDescent="0.2">
      <c r="A46" s="175" t="s">
        <v>441</v>
      </c>
      <c r="B46" s="175"/>
      <c r="C46" s="264" t="s">
        <v>10</v>
      </c>
      <c r="D46" s="176"/>
      <c r="E46" s="176"/>
      <c r="F46" s="274" t="s">
        <v>9</v>
      </c>
      <c r="G46" s="274"/>
      <c r="BY46" s="177" t="str">
        <f>C46</f>
        <v>инженер-сметчик</v>
      </c>
      <c r="BZ46" s="177" t="str">
        <f>F46</f>
        <v>Бобрышева И.В</v>
      </c>
      <c r="IU46" s="23"/>
    </row>
    <row r="47" spans="1:255" s="202" customFormat="1" ht="11.25" hidden="1" x14ac:dyDescent="0.2">
      <c r="A47" s="201"/>
      <c r="B47" s="201"/>
      <c r="C47" s="286" t="s">
        <v>434</v>
      </c>
      <c r="D47" s="286"/>
      <c r="E47" s="286"/>
      <c r="F47" s="286" t="s">
        <v>435</v>
      </c>
      <c r="G47" s="286"/>
    </row>
    <row r="48" spans="1:255" hidden="1" x14ac:dyDescent="0.2">
      <c r="A48" s="18"/>
      <c r="B48" s="18"/>
      <c r="C48" s="18"/>
      <c r="D48" s="11" t="s">
        <v>436</v>
      </c>
      <c r="E48" s="18"/>
      <c r="F48" s="18"/>
      <c r="G48" s="18"/>
    </row>
    <row r="49" spans="1:255" ht="22.5" hidden="1" x14ac:dyDescent="0.2">
      <c r="A49" s="175" t="s">
        <v>442</v>
      </c>
      <c r="B49" s="175"/>
      <c r="C49" s="264" t="s">
        <v>12</v>
      </c>
      <c r="D49" s="176"/>
      <c r="E49" s="176"/>
      <c r="F49" s="274" t="s">
        <v>11</v>
      </c>
      <c r="G49" s="274"/>
      <c r="BY49" s="177" t="str">
        <f>C49</f>
        <v>Главный инженер сметчик СРС ООО "ОДСК-Инжиниринг"</v>
      </c>
      <c r="BZ49" s="177" t="str">
        <f>F49</f>
        <v>Кузнецова У.И.</v>
      </c>
      <c r="IU49" s="23"/>
    </row>
    <row r="50" spans="1:255" s="202" customFormat="1" ht="11.25" hidden="1" x14ac:dyDescent="0.2">
      <c r="A50" s="201"/>
      <c r="B50" s="201"/>
      <c r="C50" s="286" t="s">
        <v>434</v>
      </c>
      <c r="D50" s="286"/>
      <c r="E50" s="286"/>
      <c r="F50" s="286" t="s">
        <v>435</v>
      </c>
      <c r="G50" s="286"/>
    </row>
    <row r="51" spans="1:255" hidden="1" x14ac:dyDescent="0.2">
      <c r="A51" s="18"/>
      <c r="B51" s="18"/>
      <c r="C51" s="18"/>
      <c r="D51" s="11" t="s">
        <v>436</v>
      </c>
      <c r="E51" s="18"/>
      <c r="F51" s="18"/>
      <c r="G51" s="18"/>
    </row>
    <row r="52" spans="1:255" hidden="1" x14ac:dyDescent="0.2"/>
  </sheetData>
  <sheetProtection sheet="1" objects="1" scenarios="1"/>
  <mergeCells count="40">
    <mergeCell ref="F39:G39"/>
    <mergeCell ref="F40:G40"/>
    <mergeCell ref="F31:G31"/>
    <mergeCell ref="F32:G32"/>
    <mergeCell ref="F33:G33"/>
    <mergeCell ref="F34:G34"/>
    <mergeCell ref="F35:G35"/>
    <mergeCell ref="F36:G36"/>
    <mergeCell ref="F49:G49"/>
    <mergeCell ref="C50:E50"/>
    <mergeCell ref="F50:G50"/>
    <mergeCell ref="F18:G18"/>
    <mergeCell ref="F19:G19"/>
    <mergeCell ref="F20:G20"/>
    <mergeCell ref="F21:G21"/>
    <mergeCell ref="F22:G22"/>
    <mergeCell ref="F23:G23"/>
    <mergeCell ref="F24:G24"/>
    <mergeCell ref="F43:G43"/>
    <mergeCell ref="C44:E44"/>
    <mergeCell ref="F44:G44"/>
    <mergeCell ref="F46:G46"/>
    <mergeCell ref="C47:E47"/>
    <mergeCell ref="F25:G25"/>
    <mergeCell ref="A1:G1"/>
    <mergeCell ref="A3:G3"/>
    <mergeCell ref="F47:G47"/>
    <mergeCell ref="A4:G4"/>
    <mergeCell ref="A5:G5"/>
    <mergeCell ref="A6:G6"/>
    <mergeCell ref="B7:G7"/>
    <mergeCell ref="B8:G8"/>
    <mergeCell ref="B9:G9"/>
    <mergeCell ref="F30:G30"/>
    <mergeCell ref="F26:G26"/>
    <mergeCell ref="F27:G27"/>
    <mergeCell ref="F28:G28"/>
    <mergeCell ref="F29:G29"/>
    <mergeCell ref="F37:G37"/>
    <mergeCell ref="F38:G38"/>
  </mergeCells>
  <pageMargins left="0.7" right="0.7" top="0.75" bottom="0.75" header="0.3" footer="0.3"/>
  <pageSetup paperSize="9" orientation="portrait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52"/>
  <sheetViews>
    <sheetView tabSelected="1" topLeftCell="A24" workbookViewId="0">
      <selection activeCell="J24" sqref="G1:J1048576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hidden="1" customWidth="1"/>
    <col min="9" max="9" width="8.7109375" hidden="1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265" customFormat="1" ht="11.25" x14ac:dyDescent="0.2">
      <c r="A1" s="268" t="s">
        <v>300</v>
      </c>
      <c r="B1" s="268"/>
      <c r="C1" s="268"/>
      <c r="D1" s="268"/>
      <c r="E1" s="268"/>
      <c r="F1" s="268"/>
      <c r="G1" s="268"/>
    </row>
    <row r="3" spans="1:255" x14ac:dyDescent="0.2">
      <c r="A3" s="20" t="s">
        <v>307</v>
      </c>
      <c r="B3" s="19"/>
      <c r="C3" s="270"/>
      <c r="D3" s="271"/>
      <c r="E3" s="271"/>
      <c r="F3" s="271"/>
      <c r="G3" s="271"/>
      <c r="BR3" s="22">
        <f>C3</f>
        <v>0</v>
      </c>
      <c r="IU3" s="23"/>
    </row>
    <row r="4" spans="1:255" x14ac:dyDescent="0.2">
      <c r="A4" s="20" t="s">
        <v>309</v>
      </c>
      <c r="B4" s="19"/>
      <c r="C4" s="272"/>
      <c r="D4" s="273"/>
      <c r="E4" s="273"/>
      <c r="F4" s="273"/>
      <c r="G4" s="273"/>
      <c r="BR4" s="22">
        <f>C4</f>
        <v>0</v>
      </c>
      <c r="IU4" s="23"/>
    </row>
    <row r="5" spans="1:255" x14ac:dyDescent="0.2">
      <c r="A5" s="20" t="s">
        <v>310</v>
      </c>
      <c r="B5" s="19"/>
      <c r="C5" s="272"/>
      <c r="D5" s="273"/>
      <c r="E5" s="273"/>
      <c r="F5" s="273"/>
      <c r="G5" s="273"/>
      <c r="BR5" s="22">
        <f>C5</f>
        <v>0</v>
      </c>
      <c r="IU5" s="23"/>
    </row>
    <row r="6" spans="1:255" x14ac:dyDescent="0.2">
      <c r="A6" s="20" t="s">
        <v>311</v>
      </c>
      <c r="B6" s="19"/>
      <c r="C6" s="266"/>
      <c r="D6" s="267"/>
      <c r="E6" s="267"/>
      <c r="F6" s="267"/>
      <c r="G6" s="267"/>
      <c r="BR6" s="22">
        <f>C6</f>
        <v>0</v>
      </c>
      <c r="IU6" s="23"/>
    </row>
    <row r="7" spans="1:255" x14ac:dyDescent="0.2">
      <c r="A7" s="275"/>
      <c r="B7" s="275"/>
      <c r="C7" s="275"/>
      <c r="D7" s="275"/>
      <c r="E7" s="275"/>
      <c r="F7" s="275"/>
      <c r="G7" s="275"/>
    </row>
    <row r="8" spans="1:255" ht="18.75" x14ac:dyDescent="0.3">
      <c r="A8" s="276" t="s">
        <v>447</v>
      </c>
      <c r="B8" s="276"/>
      <c r="C8" s="276"/>
      <c r="D8" s="276"/>
      <c r="E8" s="276"/>
      <c r="F8" s="276"/>
      <c r="G8" s="276"/>
    </row>
    <row r="9" spans="1:255" x14ac:dyDescent="0.2">
      <c r="A9" s="277" t="s">
        <v>448</v>
      </c>
      <c r="B9" s="277"/>
      <c r="C9" s="277"/>
      <c r="D9" s="277"/>
      <c r="E9" s="277"/>
      <c r="F9" s="277"/>
      <c r="G9" s="277"/>
    </row>
    <row r="10" spans="1:255" x14ac:dyDescent="0.2">
      <c r="A10" s="277"/>
      <c r="B10" s="277"/>
      <c r="C10" s="277"/>
      <c r="D10" s="277"/>
      <c r="E10" s="277"/>
      <c r="F10" s="277"/>
      <c r="G10" s="277"/>
    </row>
    <row r="11" spans="1:255" ht="47.25" x14ac:dyDescent="0.25">
      <c r="A11" s="14" t="s">
        <v>449</v>
      </c>
      <c r="B11" s="311" t="s">
        <v>559</v>
      </c>
      <c r="C11" s="311"/>
      <c r="D11" s="311"/>
      <c r="E11" s="311"/>
      <c r="F11" s="311"/>
      <c r="G11" s="311"/>
      <c r="BS11" s="181" t="str">
        <f>B11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(поз.1))</v>
      </c>
      <c r="IU11" s="23"/>
    </row>
    <row r="12" spans="1:255" ht="47.25" x14ac:dyDescent="0.25">
      <c r="A12" s="14" t="s">
        <v>313</v>
      </c>
      <c r="B12" s="278" t="s">
        <v>559</v>
      </c>
      <c r="C12" s="278"/>
      <c r="D12" s="278"/>
      <c r="E12" s="278"/>
      <c r="F12" s="278"/>
      <c r="G12" s="278"/>
      <c r="BS12" s="181" t="str">
        <f>B12</f>
        <v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(поз.1))</v>
      </c>
      <c r="IU12" s="23"/>
    </row>
    <row r="13" spans="1:255" x14ac:dyDescent="0.2">
      <c r="A13" s="14" t="s">
        <v>314</v>
      </c>
      <c r="B13" s="312" t="s">
        <v>792</v>
      </c>
      <c r="C13" s="313"/>
      <c r="D13" s="313"/>
      <c r="E13" s="313"/>
      <c r="F13" s="313"/>
      <c r="G13" s="313"/>
      <c r="BT13" s="22">
        <f>C13</f>
        <v>0</v>
      </c>
      <c r="IU13" s="23"/>
    </row>
    <row r="15" spans="1:255" x14ac:dyDescent="0.2">
      <c r="A15" s="14" t="s">
        <v>328</v>
      </c>
    </row>
    <row r="16" spans="1:255" x14ac:dyDescent="0.2">
      <c r="A16" s="14" t="s">
        <v>561</v>
      </c>
    </row>
    <row r="17" spans="1:255" x14ac:dyDescent="0.2">
      <c r="A17" s="182" t="s">
        <v>450</v>
      </c>
      <c r="B17" s="182" t="s">
        <v>452</v>
      </c>
      <c r="C17" s="182" t="s">
        <v>455</v>
      </c>
      <c r="D17" s="182" t="s">
        <v>457</v>
      </c>
      <c r="E17" s="182" t="s">
        <v>460</v>
      </c>
      <c r="F17" s="182" t="s">
        <v>462</v>
      </c>
      <c r="G17" s="182" t="s">
        <v>464</v>
      </c>
      <c r="H17" s="182" t="s">
        <v>466</v>
      </c>
      <c r="I17" s="183" t="s">
        <v>426</v>
      </c>
    </row>
    <row r="18" spans="1:255" x14ac:dyDescent="0.2">
      <c r="A18" s="200" t="s">
        <v>451</v>
      </c>
      <c r="B18" s="200" t="s">
        <v>453</v>
      </c>
      <c r="C18" s="200" t="s">
        <v>456</v>
      </c>
      <c r="D18" s="200" t="s">
        <v>458</v>
      </c>
      <c r="E18" s="200" t="s">
        <v>461</v>
      </c>
      <c r="F18" s="200" t="s">
        <v>463</v>
      </c>
      <c r="G18" s="200" t="s">
        <v>465</v>
      </c>
      <c r="H18" s="200" t="s">
        <v>467</v>
      </c>
      <c r="I18" s="200" t="s">
        <v>362</v>
      </c>
    </row>
    <row r="19" spans="1:255" x14ac:dyDescent="0.2">
      <c r="A19" s="200"/>
      <c r="B19" s="200" t="s">
        <v>454</v>
      </c>
      <c r="C19" s="200"/>
      <c r="D19" s="200" t="s">
        <v>459</v>
      </c>
      <c r="E19" s="200"/>
      <c r="F19" s="200"/>
      <c r="G19" s="200" t="s">
        <v>463</v>
      </c>
      <c r="H19" s="200" t="s">
        <v>468</v>
      </c>
      <c r="I19" s="200"/>
    </row>
    <row r="20" spans="1:255" x14ac:dyDescent="0.2">
      <c r="A20" s="200">
        <v>1</v>
      </c>
      <c r="B20" s="200">
        <v>2</v>
      </c>
      <c r="C20" s="200">
        <v>3</v>
      </c>
      <c r="D20" s="200">
        <v>4</v>
      </c>
      <c r="E20" s="200">
        <v>5</v>
      </c>
      <c r="F20" s="200">
        <v>6</v>
      </c>
      <c r="G20" s="200">
        <v>7</v>
      </c>
      <c r="H20" s="200">
        <v>8</v>
      </c>
      <c r="I20" s="200">
        <v>9</v>
      </c>
    </row>
    <row r="21" spans="1:255" x14ac:dyDescent="0.2">
      <c r="A21" s="193"/>
      <c r="B21" s="193" t="s">
        <v>469</v>
      </c>
      <c r="C21" s="193"/>
      <c r="D21" s="193"/>
      <c r="E21" s="193"/>
      <c r="F21" s="193"/>
      <c r="G21" s="190"/>
      <c r="H21" s="190"/>
      <c r="I21" s="190"/>
    </row>
    <row r="22" spans="1:255" s="43" customFormat="1" ht="24" x14ac:dyDescent="0.2">
      <c r="A22" s="194">
        <v>9</v>
      </c>
      <c r="B22" s="195" t="s">
        <v>793</v>
      </c>
      <c r="C22" s="195" t="s">
        <v>794</v>
      </c>
      <c r="D22" s="195" t="s">
        <v>69</v>
      </c>
      <c r="E22" s="196">
        <f t="shared" ref="E22:E40" si="0">O22</f>
        <v>4</v>
      </c>
      <c r="F22" s="309" t="s">
        <v>910</v>
      </c>
      <c r="G22" s="310"/>
      <c r="H22" s="199" t="s">
        <v>795</v>
      </c>
      <c r="I22" s="199" t="s">
        <v>471</v>
      </c>
      <c r="N22" s="186"/>
      <c r="O22" s="186">
        <f t="shared" ref="O22:O40" si="1">SUM(P22:IV22)</f>
        <v>4</v>
      </c>
      <c r="P22" s="186">
        <f>[6]Source!I109</f>
        <v>4</v>
      </c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</row>
    <row r="23" spans="1:255" s="43" customFormat="1" ht="24" x14ac:dyDescent="0.2">
      <c r="A23" s="194">
        <v>10</v>
      </c>
      <c r="B23" s="195" t="s">
        <v>793</v>
      </c>
      <c r="C23" s="195" t="s">
        <v>796</v>
      </c>
      <c r="D23" s="195" t="s">
        <v>69</v>
      </c>
      <c r="E23" s="196">
        <f t="shared" si="0"/>
        <v>1</v>
      </c>
      <c r="F23" s="309" t="s">
        <v>910</v>
      </c>
      <c r="G23" s="310"/>
      <c r="H23" s="199" t="s">
        <v>797</v>
      </c>
      <c r="I23" s="199" t="s">
        <v>471</v>
      </c>
      <c r="N23" s="186"/>
      <c r="O23" s="186">
        <f t="shared" si="1"/>
        <v>1</v>
      </c>
      <c r="P23" s="186">
        <f>[6]Source!I105</f>
        <v>1</v>
      </c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  <c r="CP23" s="186"/>
      <c r="CQ23" s="186"/>
      <c r="CR23" s="186"/>
      <c r="CS23" s="186"/>
      <c r="CT23" s="186"/>
      <c r="CU23" s="186"/>
      <c r="CV23" s="186"/>
      <c r="CW23" s="186"/>
      <c r="CX23" s="186"/>
      <c r="CY23" s="186"/>
      <c r="CZ23" s="186"/>
      <c r="DA23" s="186"/>
      <c r="DB23" s="186"/>
      <c r="DC23" s="186"/>
      <c r="DD23" s="186"/>
      <c r="DE23" s="186"/>
      <c r="DF23" s="186"/>
      <c r="DG23" s="186"/>
      <c r="DH23" s="186"/>
      <c r="DI23" s="186"/>
      <c r="DJ23" s="186"/>
      <c r="DK23" s="186"/>
      <c r="DL23" s="186"/>
      <c r="DM23" s="186"/>
      <c r="DN23" s="186"/>
      <c r="DO23" s="186"/>
      <c r="DP23" s="186"/>
      <c r="DQ23" s="186"/>
      <c r="DR23" s="186"/>
      <c r="DS23" s="186"/>
      <c r="DT23" s="186"/>
      <c r="DU23" s="186"/>
      <c r="DV23" s="186"/>
      <c r="DW23" s="186"/>
      <c r="DX23" s="186"/>
      <c r="DY23" s="186"/>
      <c r="DZ23" s="186"/>
      <c r="EA23" s="186"/>
      <c r="EB23" s="186"/>
      <c r="EC23" s="186"/>
      <c r="ED23" s="186"/>
      <c r="EE23" s="186"/>
      <c r="EF23" s="186"/>
      <c r="EG23" s="186"/>
      <c r="EH23" s="186"/>
      <c r="EI23" s="186"/>
      <c r="EJ23" s="186"/>
      <c r="EK23" s="186"/>
      <c r="EL23" s="186"/>
      <c r="EM23" s="186"/>
      <c r="EN23" s="186"/>
      <c r="EO23" s="186"/>
      <c r="EP23" s="186"/>
      <c r="EQ23" s="186"/>
      <c r="ER23" s="186"/>
      <c r="ES23" s="186"/>
      <c r="ET23" s="186"/>
      <c r="EU23" s="186"/>
      <c r="EV23" s="186"/>
      <c r="EW23" s="186"/>
      <c r="EX23" s="186"/>
      <c r="EY23" s="186"/>
      <c r="EZ23" s="186"/>
      <c r="FA23" s="186"/>
      <c r="FB23" s="186"/>
      <c r="FC23" s="186"/>
      <c r="FD23" s="186"/>
      <c r="FE23" s="186"/>
      <c r="FF23" s="186"/>
      <c r="FG23" s="186"/>
      <c r="FH23" s="186"/>
      <c r="FI23" s="186"/>
      <c r="FJ23" s="186"/>
      <c r="FK23" s="186"/>
      <c r="FL23" s="186"/>
      <c r="FM23" s="186"/>
      <c r="FN23" s="186"/>
      <c r="FO23" s="186"/>
      <c r="FP23" s="186"/>
      <c r="FQ23" s="186"/>
      <c r="FR23" s="186"/>
      <c r="FS23" s="186"/>
      <c r="FT23" s="186"/>
      <c r="FU23" s="186"/>
      <c r="FV23" s="186"/>
      <c r="FW23" s="186"/>
      <c r="FX23" s="186"/>
      <c r="FY23" s="186"/>
      <c r="FZ23" s="186"/>
      <c r="GA23" s="186"/>
      <c r="GB23" s="186"/>
      <c r="GC23" s="186"/>
      <c r="GD23" s="186"/>
      <c r="GE23" s="186"/>
      <c r="GF23" s="186"/>
      <c r="GG23" s="186"/>
      <c r="GH23" s="186"/>
      <c r="GI23" s="186"/>
      <c r="GJ23" s="186"/>
      <c r="GK23" s="186"/>
      <c r="GL23" s="186"/>
      <c r="GM23" s="186"/>
      <c r="GN23" s="186"/>
      <c r="GO23" s="186"/>
      <c r="GP23" s="186"/>
      <c r="GQ23" s="186"/>
      <c r="GR23" s="186"/>
      <c r="GS23" s="186"/>
      <c r="GT23" s="186"/>
      <c r="GU23" s="186"/>
      <c r="GV23" s="186"/>
      <c r="GW23" s="186"/>
      <c r="GX23" s="186"/>
      <c r="GY23" s="186"/>
      <c r="GZ23" s="186"/>
      <c r="HA23" s="186"/>
      <c r="HB23" s="186"/>
      <c r="HC23" s="186"/>
      <c r="HD23" s="186"/>
      <c r="HE23" s="186"/>
      <c r="HF23" s="186"/>
      <c r="HG23" s="186"/>
      <c r="HH23" s="186"/>
      <c r="HI23" s="186"/>
      <c r="HJ23" s="186"/>
      <c r="HK23" s="186"/>
      <c r="HL23" s="186"/>
      <c r="HM23" s="186"/>
      <c r="HN23" s="186"/>
      <c r="HO23" s="186"/>
      <c r="HP23" s="186"/>
      <c r="HQ23" s="186"/>
      <c r="HR23" s="186"/>
      <c r="HS23" s="186"/>
      <c r="HT23" s="186"/>
      <c r="HU23" s="186"/>
      <c r="HV23" s="186"/>
      <c r="HW23" s="186"/>
      <c r="HX23" s="186"/>
      <c r="HY23" s="186"/>
      <c r="HZ23" s="186"/>
      <c r="IA23" s="186"/>
      <c r="IB23" s="186"/>
      <c r="IC23" s="186"/>
      <c r="ID23" s="186"/>
      <c r="IE23" s="186"/>
      <c r="IF23" s="186"/>
      <c r="IG23" s="186"/>
      <c r="IH23" s="186"/>
      <c r="II23" s="186"/>
      <c r="IJ23" s="186"/>
      <c r="IK23" s="186"/>
      <c r="IL23" s="186"/>
      <c r="IM23" s="186"/>
      <c r="IN23" s="186"/>
      <c r="IO23" s="186"/>
      <c r="IP23" s="186"/>
      <c r="IQ23" s="186"/>
      <c r="IR23" s="186"/>
      <c r="IS23" s="186"/>
      <c r="IT23" s="186"/>
      <c r="IU23" s="186"/>
    </row>
    <row r="24" spans="1:255" s="43" customFormat="1" ht="24" x14ac:dyDescent="0.2">
      <c r="A24" s="194">
        <v>13</v>
      </c>
      <c r="B24" s="195" t="s">
        <v>793</v>
      </c>
      <c r="C24" s="195" t="s">
        <v>798</v>
      </c>
      <c r="D24" s="195" t="s">
        <v>69</v>
      </c>
      <c r="E24" s="196">
        <f t="shared" si="0"/>
        <v>1</v>
      </c>
      <c r="F24" s="309" t="s">
        <v>910</v>
      </c>
      <c r="G24" s="310"/>
      <c r="H24" s="199" t="s">
        <v>799</v>
      </c>
      <c r="I24" s="199" t="s">
        <v>471</v>
      </c>
      <c r="N24" s="186"/>
      <c r="O24" s="186">
        <f t="shared" si="1"/>
        <v>1</v>
      </c>
      <c r="P24" s="186">
        <f>[6]Source!I103</f>
        <v>1</v>
      </c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  <c r="CP24" s="186"/>
      <c r="CQ24" s="186"/>
      <c r="CR24" s="186"/>
      <c r="CS24" s="186"/>
      <c r="CT24" s="186"/>
      <c r="CU24" s="186"/>
      <c r="CV24" s="186"/>
      <c r="CW24" s="186"/>
      <c r="CX24" s="186"/>
      <c r="CY24" s="186"/>
      <c r="CZ24" s="186"/>
      <c r="DA24" s="186"/>
      <c r="DB24" s="186"/>
      <c r="DC24" s="186"/>
      <c r="DD24" s="186"/>
      <c r="DE24" s="186"/>
      <c r="DF24" s="186"/>
      <c r="DG24" s="186"/>
      <c r="DH24" s="186"/>
      <c r="DI24" s="186"/>
      <c r="DJ24" s="186"/>
      <c r="DK24" s="186"/>
      <c r="DL24" s="186"/>
      <c r="DM24" s="186"/>
      <c r="DN24" s="186"/>
      <c r="DO24" s="186"/>
      <c r="DP24" s="186"/>
      <c r="DQ24" s="186"/>
      <c r="DR24" s="186"/>
      <c r="DS24" s="186"/>
      <c r="DT24" s="186"/>
      <c r="DU24" s="186"/>
      <c r="DV24" s="186"/>
      <c r="DW24" s="186"/>
      <c r="DX24" s="186"/>
      <c r="DY24" s="186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6"/>
      <c r="EK24" s="186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6"/>
      <c r="EW24" s="186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6"/>
      <c r="FI24" s="186"/>
      <c r="FJ24" s="186"/>
      <c r="FK24" s="186"/>
      <c r="FL24" s="186"/>
      <c r="FM24" s="186"/>
      <c r="FN24" s="186"/>
      <c r="FO24" s="186"/>
      <c r="FP24" s="186"/>
      <c r="FQ24" s="186"/>
      <c r="FR24" s="186"/>
      <c r="FS24" s="186"/>
      <c r="FT24" s="186"/>
      <c r="FU24" s="186"/>
      <c r="FV24" s="186"/>
      <c r="FW24" s="186"/>
      <c r="FX24" s="186"/>
      <c r="FY24" s="186"/>
      <c r="FZ24" s="186"/>
      <c r="GA24" s="186"/>
      <c r="GB24" s="186"/>
      <c r="GC24" s="186"/>
      <c r="GD24" s="186"/>
      <c r="GE24" s="186"/>
      <c r="GF24" s="186"/>
      <c r="GG24" s="186"/>
      <c r="GH24" s="186"/>
      <c r="GI24" s="186"/>
      <c r="GJ24" s="186"/>
      <c r="GK24" s="186"/>
      <c r="GL24" s="186"/>
      <c r="GM24" s="186"/>
      <c r="GN24" s="186"/>
      <c r="GO24" s="186"/>
      <c r="GP24" s="186"/>
      <c r="GQ24" s="186"/>
      <c r="GR24" s="186"/>
      <c r="GS24" s="186"/>
      <c r="GT24" s="186"/>
      <c r="GU24" s="186"/>
      <c r="GV24" s="186"/>
      <c r="GW24" s="186"/>
      <c r="GX24" s="186"/>
      <c r="GY24" s="186"/>
      <c r="GZ24" s="186"/>
      <c r="HA24" s="186"/>
      <c r="HB24" s="186"/>
      <c r="HC24" s="186"/>
      <c r="HD24" s="186"/>
      <c r="HE24" s="186"/>
      <c r="HF24" s="186"/>
      <c r="HG24" s="186"/>
      <c r="HH24" s="186"/>
      <c r="HI24" s="186"/>
      <c r="HJ24" s="186"/>
      <c r="HK24" s="186"/>
      <c r="HL24" s="186"/>
      <c r="HM24" s="186"/>
      <c r="HN24" s="186"/>
      <c r="HO24" s="186"/>
      <c r="HP24" s="186"/>
      <c r="HQ24" s="186"/>
      <c r="HR24" s="186"/>
      <c r="HS24" s="186"/>
      <c r="HT24" s="186"/>
      <c r="HU24" s="186"/>
      <c r="HV24" s="186"/>
      <c r="HW24" s="186"/>
      <c r="HX24" s="186"/>
      <c r="HY24" s="186"/>
      <c r="HZ24" s="186"/>
      <c r="IA24" s="186"/>
      <c r="IB24" s="186"/>
      <c r="IC24" s="186"/>
      <c r="ID24" s="186"/>
      <c r="IE24" s="186"/>
      <c r="IF24" s="186"/>
      <c r="IG24" s="186"/>
      <c r="IH24" s="186"/>
      <c r="II24" s="186"/>
      <c r="IJ24" s="186"/>
      <c r="IK24" s="186"/>
      <c r="IL24" s="186"/>
      <c r="IM24" s="186"/>
      <c r="IN24" s="186"/>
      <c r="IO24" s="186"/>
      <c r="IP24" s="186"/>
      <c r="IQ24" s="186"/>
      <c r="IR24" s="186"/>
      <c r="IS24" s="186"/>
      <c r="IT24" s="186"/>
      <c r="IU24" s="186"/>
    </row>
    <row r="25" spans="1:255" s="43" customFormat="1" ht="36" x14ac:dyDescent="0.2">
      <c r="A25" s="194">
        <v>14</v>
      </c>
      <c r="B25" s="195" t="s">
        <v>793</v>
      </c>
      <c r="C25" s="195" t="s">
        <v>800</v>
      </c>
      <c r="D25" s="195" t="s">
        <v>69</v>
      </c>
      <c r="E25" s="196">
        <f t="shared" si="0"/>
        <v>80</v>
      </c>
      <c r="F25" s="309" t="s">
        <v>910</v>
      </c>
      <c r="G25" s="310"/>
      <c r="H25" s="199" t="s">
        <v>801</v>
      </c>
      <c r="I25" s="199" t="s">
        <v>471</v>
      </c>
      <c r="N25" s="186"/>
      <c r="O25" s="186">
        <f t="shared" si="1"/>
        <v>80</v>
      </c>
      <c r="P25" s="186">
        <f>[6]Source!I127</f>
        <v>80</v>
      </c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186"/>
      <c r="DG25" s="186"/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6"/>
      <c r="DU25" s="186"/>
      <c r="DV25" s="186"/>
      <c r="DW25" s="186"/>
      <c r="DX25" s="186"/>
      <c r="DY25" s="186"/>
      <c r="DZ25" s="186"/>
      <c r="EA25" s="186"/>
      <c r="EB25" s="186"/>
      <c r="EC25" s="186"/>
      <c r="ED25" s="186"/>
      <c r="EE25" s="186"/>
      <c r="EF25" s="186"/>
      <c r="EG25" s="186"/>
      <c r="EH25" s="186"/>
      <c r="EI25" s="186"/>
      <c r="EJ25" s="186"/>
      <c r="EK25" s="186"/>
      <c r="EL25" s="186"/>
      <c r="EM25" s="186"/>
      <c r="EN25" s="186"/>
      <c r="EO25" s="186"/>
      <c r="EP25" s="186"/>
      <c r="EQ25" s="186"/>
      <c r="ER25" s="186"/>
      <c r="ES25" s="186"/>
      <c r="ET25" s="186"/>
      <c r="EU25" s="186"/>
      <c r="EV25" s="186"/>
      <c r="EW25" s="186"/>
      <c r="EX25" s="186"/>
      <c r="EY25" s="186"/>
      <c r="EZ25" s="186"/>
      <c r="FA25" s="186"/>
      <c r="FB25" s="186"/>
      <c r="FC25" s="186"/>
      <c r="FD25" s="186"/>
      <c r="FE25" s="186"/>
      <c r="FF25" s="186"/>
      <c r="FG25" s="186"/>
      <c r="FH25" s="186"/>
      <c r="FI25" s="186"/>
      <c r="FJ25" s="186"/>
      <c r="FK25" s="186"/>
      <c r="FL25" s="186"/>
      <c r="FM25" s="186"/>
      <c r="FN25" s="186"/>
      <c r="FO25" s="186"/>
      <c r="FP25" s="186"/>
      <c r="FQ25" s="186"/>
      <c r="FR25" s="186"/>
      <c r="FS25" s="186"/>
      <c r="FT25" s="186"/>
      <c r="FU25" s="186"/>
      <c r="FV25" s="186"/>
      <c r="FW25" s="186"/>
      <c r="FX25" s="186"/>
      <c r="FY25" s="186"/>
      <c r="FZ25" s="186"/>
      <c r="GA25" s="186"/>
      <c r="GB25" s="186"/>
      <c r="GC25" s="186"/>
      <c r="GD25" s="186"/>
      <c r="GE25" s="186"/>
      <c r="GF25" s="186"/>
      <c r="GG25" s="186"/>
      <c r="GH25" s="186"/>
      <c r="GI25" s="186"/>
      <c r="GJ25" s="186"/>
      <c r="GK25" s="186"/>
      <c r="GL25" s="186"/>
      <c r="GM25" s="186"/>
      <c r="GN25" s="186"/>
      <c r="GO25" s="186"/>
      <c r="GP25" s="186"/>
      <c r="GQ25" s="186"/>
      <c r="GR25" s="186"/>
      <c r="GS25" s="186"/>
      <c r="GT25" s="186"/>
      <c r="GU25" s="186"/>
      <c r="GV25" s="186"/>
      <c r="GW25" s="186"/>
      <c r="GX25" s="186"/>
      <c r="GY25" s="186"/>
      <c r="GZ25" s="186"/>
      <c r="HA25" s="186"/>
      <c r="HB25" s="186"/>
      <c r="HC25" s="186"/>
      <c r="HD25" s="186"/>
      <c r="HE25" s="186"/>
      <c r="HF25" s="186"/>
      <c r="HG25" s="186"/>
      <c r="HH25" s="186"/>
      <c r="HI25" s="186"/>
      <c r="HJ25" s="186"/>
      <c r="HK25" s="186"/>
      <c r="HL25" s="186"/>
      <c r="HM25" s="186"/>
      <c r="HN25" s="186"/>
      <c r="HO25" s="186"/>
      <c r="HP25" s="186"/>
      <c r="HQ25" s="186"/>
      <c r="HR25" s="186"/>
      <c r="HS25" s="186"/>
      <c r="HT25" s="186"/>
      <c r="HU25" s="186"/>
      <c r="HV25" s="186"/>
      <c r="HW25" s="186"/>
      <c r="HX25" s="186"/>
      <c r="HY25" s="186"/>
      <c r="HZ25" s="186"/>
      <c r="IA25" s="186"/>
      <c r="IB25" s="186"/>
      <c r="IC25" s="186"/>
      <c r="ID25" s="186"/>
      <c r="IE25" s="186"/>
      <c r="IF25" s="186"/>
      <c r="IG25" s="186"/>
      <c r="IH25" s="186"/>
      <c r="II25" s="186"/>
      <c r="IJ25" s="186"/>
      <c r="IK25" s="186"/>
      <c r="IL25" s="186"/>
      <c r="IM25" s="186"/>
      <c r="IN25" s="186"/>
      <c r="IO25" s="186"/>
      <c r="IP25" s="186"/>
      <c r="IQ25" s="186"/>
      <c r="IR25" s="186"/>
      <c r="IS25" s="186"/>
      <c r="IT25" s="186"/>
      <c r="IU25" s="186"/>
    </row>
    <row r="26" spans="1:255" s="43" customFormat="1" ht="36" x14ac:dyDescent="0.2">
      <c r="A26" s="194">
        <v>15</v>
      </c>
      <c r="B26" s="195" t="s">
        <v>793</v>
      </c>
      <c r="C26" s="195" t="s">
        <v>802</v>
      </c>
      <c r="D26" s="195" t="s">
        <v>69</v>
      </c>
      <c r="E26" s="196">
        <f t="shared" si="0"/>
        <v>159</v>
      </c>
      <c r="F26" s="309" t="s">
        <v>910</v>
      </c>
      <c r="G26" s="310"/>
      <c r="H26" s="199" t="s">
        <v>801</v>
      </c>
      <c r="I26" s="199" t="s">
        <v>471</v>
      </c>
      <c r="N26" s="186"/>
      <c r="O26" s="186">
        <f t="shared" si="1"/>
        <v>159</v>
      </c>
      <c r="P26" s="186">
        <f>[6]Source!I123</f>
        <v>159</v>
      </c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  <c r="CS26" s="186"/>
      <c r="CT26" s="186"/>
      <c r="CU26" s="186"/>
      <c r="CV26" s="186"/>
      <c r="CW26" s="186"/>
      <c r="CX26" s="186"/>
      <c r="CY26" s="186"/>
      <c r="CZ26" s="186"/>
      <c r="DA26" s="186"/>
      <c r="DB26" s="186"/>
      <c r="DC26" s="186"/>
      <c r="DD26" s="186"/>
      <c r="DE26" s="186"/>
      <c r="DF26" s="186"/>
      <c r="DG26" s="186"/>
      <c r="DH26" s="186"/>
      <c r="DI26" s="186"/>
      <c r="DJ26" s="186"/>
      <c r="DK26" s="186"/>
      <c r="DL26" s="186"/>
      <c r="DM26" s="186"/>
      <c r="DN26" s="186"/>
      <c r="DO26" s="186"/>
      <c r="DP26" s="186"/>
      <c r="DQ26" s="186"/>
      <c r="DR26" s="186"/>
      <c r="DS26" s="186"/>
      <c r="DT26" s="186"/>
      <c r="DU26" s="186"/>
      <c r="DV26" s="186"/>
      <c r="DW26" s="186"/>
      <c r="DX26" s="186"/>
      <c r="DY26" s="186"/>
      <c r="DZ26" s="186"/>
      <c r="EA26" s="186"/>
      <c r="EB26" s="186"/>
      <c r="EC26" s="186"/>
      <c r="ED26" s="186"/>
      <c r="EE26" s="186"/>
      <c r="EF26" s="186"/>
      <c r="EG26" s="186"/>
      <c r="EH26" s="186"/>
      <c r="EI26" s="186"/>
      <c r="EJ26" s="186"/>
      <c r="EK26" s="186"/>
      <c r="EL26" s="186"/>
      <c r="EM26" s="186"/>
      <c r="EN26" s="186"/>
      <c r="EO26" s="186"/>
      <c r="EP26" s="186"/>
      <c r="EQ26" s="186"/>
      <c r="ER26" s="186"/>
      <c r="ES26" s="186"/>
      <c r="ET26" s="186"/>
      <c r="EU26" s="186"/>
      <c r="EV26" s="186"/>
      <c r="EW26" s="186"/>
      <c r="EX26" s="186"/>
      <c r="EY26" s="186"/>
      <c r="EZ26" s="186"/>
      <c r="FA26" s="186"/>
      <c r="FB26" s="186"/>
      <c r="FC26" s="186"/>
      <c r="FD26" s="186"/>
      <c r="FE26" s="186"/>
      <c r="FF26" s="186"/>
      <c r="FG26" s="186"/>
      <c r="FH26" s="186"/>
      <c r="FI26" s="186"/>
      <c r="FJ26" s="186"/>
      <c r="FK26" s="186"/>
      <c r="FL26" s="186"/>
      <c r="FM26" s="186"/>
      <c r="FN26" s="186"/>
      <c r="FO26" s="186"/>
      <c r="FP26" s="186"/>
      <c r="FQ26" s="186"/>
      <c r="FR26" s="186"/>
      <c r="FS26" s="186"/>
      <c r="FT26" s="186"/>
      <c r="FU26" s="186"/>
      <c r="FV26" s="186"/>
      <c r="FW26" s="186"/>
      <c r="FX26" s="186"/>
      <c r="FY26" s="186"/>
      <c r="FZ26" s="186"/>
      <c r="GA26" s="186"/>
      <c r="GB26" s="186"/>
      <c r="GC26" s="186"/>
      <c r="GD26" s="186"/>
      <c r="GE26" s="186"/>
      <c r="GF26" s="186"/>
      <c r="GG26" s="186"/>
      <c r="GH26" s="186"/>
      <c r="GI26" s="186"/>
      <c r="GJ26" s="186"/>
      <c r="GK26" s="186"/>
      <c r="GL26" s="186"/>
      <c r="GM26" s="186"/>
      <c r="GN26" s="186"/>
      <c r="GO26" s="186"/>
      <c r="GP26" s="186"/>
      <c r="GQ26" s="186"/>
      <c r="GR26" s="186"/>
      <c r="GS26" s="186"/>
      <c r="GT26" s="186"/>
      <c r="GU26" s="186"/>
      <c r="GV26" s="186"/>
      <c r="GW26" s="186"/>
      <c r="GX26" s="186"/>
      <c r="GY26" s="186"/>
      <c r="GZ26" s="186"/>
      <c r="HA26" s="186"/>
      <c r="HB26" s="186"/>
      <c r="HC26" s="186"/>
      <c r="HD26" s="186"/>
      <c r="HE26" s="186"/>
      <c r="HF26" s="186"/>
      <c r="HG26" s="186"/>
      <c r="HH26" s="186"/>
      <c r="HI26" s="186"/>
      <c r="HJ26" s="186"/>
      <c r="HK26" s="186"/>
      <c r="HL26" s="186"/>
      <c r="HM26" s="186"/>
      <c r="HN26" s="186"/>
      <c r="HO26" s="186"/>
      <c r="HP26" s="186"/>
      <c r="HQ26" s="186"/>
      <c r="HR26" s="186"/>
      <c r="HS26" s="186"/>
      <c r="HT26" s="186"/>
      <c r="HU26" s="186"/>
      <c r="HV26" s="186"/>
      <c r="HW26" s="186"/>
      <c r="HX26" s="186"/>
      <c r="HY26" s="186"/>
      <c r="HZ26" s="186"/>
      <c r="IA26" s="186"/>
      <c r="IB26" s="186"/>
      <c r="IC26" s="186"/>
      <c r="ID26" s="186"/>
      <c r="IE26" s="186"/>
      <c r="IF26" s="186"/>
      <c r="IG26" s="186"/>
      <c r="IH26" s="186"/>
      <c r="II26" s="186"/>
      <c r="IJ26" s="186"/>
      <c r="IK26" s="186"/>
      <c r="IL26" s="186"/>
      <c r="IM26" s="186"/>
      <c r="IN26" s="186"/>
      <c r="IO26" s="186"/>
      <c r="IP26" s="186"/>
      <c r="IQ26" s="186"/>
      <c r="IR26" s="186"/>
      <c r="IS26" s="186"/>
      <c r="IT26" s="186"/>
      <c r="IU26" s="186"/>
    </row>
    <row r="27" spans="1:255" s="43" customFormat="1" ht="24" x14ac:dyDescent="0.2">
      <c r="A27" s="194">
        <v>16</v>
      </c>
      <c r="B27" s="195" t="s">
        <v>803</v>
      </c>
      <c r="C27" s="195" t="s">
        <v>804</v>
      </c>
      <c r="D27" s="195" t="s">
        <v>547</v>
      </c>
      <c r="E27" s="196">
        <f t="shared" si="0"/>
        <v>244.32</v>
      </c>
      <c r="F27" s="309" t="s">
        <v>910</v>
      </c>
      <c r="G27" s="310"/>
      <c r="H27" s="199" t="s">
        <v>805</v>
      </c>
      <c r="I27" s="199" t="s">
        <v>471</v>
      </c>
      <c r="N27" s="186"/>
      <c r="O27" s="186">
        <f t="shared" si="1"/>
        <v>244.32</v>
      </c>
      <c r="P27" s="186">
        <f>[6]Source!I77</f>
        <v>244.32</v>
      </c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6"/>
      <c r="CT27" s="186"/>
      <c r="CU27" s="186"/>
      <c r="CV27" s="186"/>
      <c r="CW27" s="186"/>
      <c r="CX27" s="186"/>
      <c r="CY27" s="186"/>
      <c r="CZ27" s="186"/>
      <c r="DA27" s="186"/>
      <c r="DB27" s="186"/>
      <c r="DC27" s="186"/>
      <c r="DD27" s="186"/>
      <c r="DE27" s="186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  <c r="DR27" s="186"/>
      <c r="DS27" s="186"/>
      <c r="DT27" s="186"/>
      <c r="DU27" s="186"/>
      <c r="DV27" s="186"/>
      <c r="DW27" s="186"/>
      <c r="DX27" s="186"/>
      <c r="DY27" s="186"/>
      <c r="DZ27" s="186"/>
      <c r="EA27" s="186"/>
      <c r="EB27" s="186"/>
      <c r="EC27" s="186"/>
      <c r="ED27" s="186"/>
      <c r="EE27" s="186"/>
      <c r="EF27" s="186"/>
      <c r="EG27" s="186"/>
      <c r="EH27" s="186"/>
      <c r="EI27" s="186"/>
      <c r="EJ27" s="186"/>
      <c r="EK27" s="186"/>
      <c r="EL27" s="186"/>
      <c r="EM27" s="186"/>
      <c r="EN27" s="186"/>
      <c r="EO27" s="186"/>
      <c r="EP27" s="186"/>
      <c r="EQ27" s="186"/>
      <c r="ER27" s="186"/>
      <c r="ES27" s="186"/>
      <c r="ET27" s="186"/>
      <c r="EU27" s="186"/>
      <c r="EV27" s="186"/>
      <c r="EW27" s="186"/>
      <c r="EX27" s="186"/>
      <c r="EY27" s="186"/>
      <c r="EZ27" s="186"/>
      <c r="FA27" s="186"/>
      <c r="FB27" s="186"/>
      <c r="FC27" s="186"/>
      <c r="FD27" s="186"/>
      <c r="FE27" s="186"/>
      <c r="FF27" s="186"/>
      <c r="FG27" s="186"/>
      <c r="FH27" s="186"/>
      <c r="FI27" s="186"/>
      <c r="FJ27" s="186"/>
      <c r="FK27" s="186"/>
      <c r="FL27" s="186"/>
      <c r="FM27" s="186"/>
      <c r="FN27" s="186"/>
      <c r="FO27" s="186"/>
      <c r="FP27" s="186"/>
      <c r="FQ27" s="186"/>
      <c r="FR27" s="186"/>
      <c r="FS27" s="186"/>
      <c r="FT27" s="186"/>
      <c r="FU27" s="186"/>
      <c r="FV27" s="186"/>
      <c r="FW27" s="186"/>
      <c r="FX27" s="186"/>
      <c r="FY27" s="186"/>
      <c r="FZ27" s="186"/>
      <c r="GA27" s="186"/>
      <c r="GB27" s="186"/>
      <c r="GC27" s="186"/>
      <c r="GD27" s="186"/>
      <c r="GE27" s="186"/>
      <c r="GF27" s="186"/>
      <c r="GG27" s="186"/>
      <c r="GH27" s="186"/>
      <c r="GI27" s="186"/>
      <c r="GJ27" s="186"/>
      <c r="GK27" s="186"/>
      <c r="GL27" s="186"/>
      <c r="GM27" s="186"/>
      <c r="GN27" s="186"/>
      <c r="GO27" s="186"/>
      <c r="GP27" s="186"/>
      <c r="GQ27" s="186"/>
      <c r="GR27" s="186"/>
      <c r="GS27" s="186"/>
      <c r="GT27" s="186"/>
      <c r="GU27" s="186"/>
      <c r="GV27" s="186"/>
      <c r="GW27" s="186"/>
      <c r="GX27" s="186"/>
      <c r="GY27" s="186"/>
      <c r="GZ27" s="186"/>
      <c r="HA27" s="186"/>
      <c r="HB27" s="186"/>
      <c r="HC27" s="186"/>
      <c r="HD27" s="186"/>
      <c r="HE27" s="186"/>
      <c r="HF27" s="186"/>
      <c r="HG27" s="186"/>
      <c r="HH27" s="186"/>
      <c r="HI27" s="186"/>
      <c r="HJ27" s="186"/>
      <c r="HK27" s="186"/>
      <c r="HL27" s="186"/>
      <c r="HM27" s="186"/>
      <c r="HN27" s="186"/>
      <c r="HO27" s="186"/>
      <c r="HP27" s="186"/>
      <c r="HQ27" s="186"/>
      <c r="HR27" s="186"/>
      <c r="HS27" s="186"/>
      <c r="HT27" s="186"/>
      <c r="HU27" s="186"/>
      <c r="HV27" s="186"/>
      <c r="HW27" s="186"/>
      <c r="HX27" s="186"/>
      <c r="HY27" s="186"/>
      <c r="HZ27" s="186"/>
      <c r="IA27" s="186"/>
      <c r="IB27" s="186"/>
      <c r="IC27" s="186"/>
      <c r="ID27" s="186"/>
      <c r="IE27" s="186"/>
      <c r="IF27" s="186"/>
      <c r="IG27" s="186"/>
      <c r="IH27" s="186"/>
      <c r="II27" s="186"/>
      <c r="IJ27" s="186"/>
      <c r="IK27" s="186"/>
      <c r="IL27" s="186"/>
      <c r="IM27" s="186"/>
      <c r="IN27" s="186"/>
      <c r="IO27" s="186"/>
      <c r="IP27" s="186"/>
      <c r="IQ27" s="186"/>
      <c r="IR27" s="186"/>
      <c r="IS27" s="186"/>
      <c r="IT27" s="186"/>
      <c r="IU27" s="186"/>
    </row>
    <row r="28" spans="1:255" s="43" customFormat="1" ht="24" x14ac:dyDescent="0.2">
      <c r="A28" s="194">
        <v>17</v>
      </c>
      <c r="B28" s="195" t="s">
        <v>793</v>
      </c>
      <c r="C28" s="195" t="s">
        <v>806</v>
      </c>
      <c r="D28" s="195" t="s">
        <v>69</v>
      </c>
      <c r="E28" s="196">
        <f t="shared" si="0"/>
        <v>40</v>
      </c>
      <c r="F28" s="309" t="s">
        <v>910</v>
      </c>
      <c r="G28" s="310"/>
      <c r="H28" s="199" t="s">
        <v>807</v>
      </c>
      <c r="I28" s="199" t="s">
        <v>471</v>
      </c>
      <c r="N28" s="186"/>
      <c r="O28" s="186">
        <f t="shared" si="1"/>
        <v>40</v>
      </c>
      <c r="P28" s="186">
        <f>[6]Source!I107</f>
        <v>40</v>
      </c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  <c r="CP28" s="186"/>
      <c r="CQ28" s="186"/>
      <c r="CR28" s="186"/>
      <c r="CS28" s="186"/>
      <c r="CT28" s="186"/>
      <c r="CU28" s="186"/>
      <c r="CV28" s="186"/>
      <c r="CW28" s="186"/>
      <c r="CX28" s="186"/>
      <c r="CY28" s="186"/>
      <c r="CZ28" s="186"/>
      <c r="DA28" s="186"/>
      <c r="DB28" s="186"/>
      <c r="DC28" s="186"/>
      <c r="DD28" s="186"/>
      <c r="DE28" s="186"/>
      <c r="DF28" s="186"/>
      <c r="DG28" s="186"/>
      <c r="DH28" s="186"/>
      <c r="DI28" s="186"/>
      <c r="DJ28" s="186"/>
      <c r="DK28" s="186"/>
      <c r="DL28" s="186"/>
      <c r="DM28" s="186"/>
      <c r="DN28" s="186"/>
      <c r="DO28" s="186"/>
      <c r="DP28" s="186"/>
      <c r="DQ28" s="186"/>
      <c r="DR28" s="186"/>
      <c r="DS28" s="186"/>
      <c r="DT28" s="186"/>
      <c r="DU28" s="186"/>
      <c r="DV28" s="186"/>
      <c r="DW28" s="186"/>
      <c r="DX28" s="186"/>
      <c r="DY28" s="186"/>
      <c r="DZ28" s="186"/>
      <c r="EA28" s="186"/>
      <c r="EB28" s="186"/>
      <c r="EC28" s="186"/>
      <c r="ED28" s="186"/>
      <c r="EE28" s="186"/>
      <c r="EF28" s="186"/>
      <c r="EG28" s="186"/>
      <c r="EH28" s="186"/>
      <c r="EI28" s="186"/>
      <c r="EJ28" s="186"/>
      <c r="EK28" s="186"/>
      <c r="EL28" s="186"/>
      <c r="EM28" s="186"/>
      <c r="EN28" s="186"/>
      <c r="EO28" s="186"/>
      <c r="EP28" s="186"/>
      <c r="EQ28" s="186"/>
      <c r="ER28" s="186"/>
      <c r="ES28" s="186"/>
      <c r="ET28" s="186"/>
      <c r="EU28" s="186"/>
      <c r="EV28" s="186"/>
      <c r="EW28" s="186"/>
      <c r="EX28" s="186"/>
      <c r="EY28" s="186"/>
      <c r="EZ28" s="186"/>
      <c r="FA28" s="186"/>
      <c r="FB28" s="186"/>
      <c r="FC28" s="186"/>
      <c r="FD28" s="186"/>
      <c r="FE28" s="186"/>
      <c r="FF28" s="186"/>
      <c r="FG28" s="186"/>
      <c r="FH28" s="186"/>
      <c r="FI28" s="186"/>
      <c r="FJ28" s="186"/>
      <c r="FK28" s="186"/>
      <c r="FL28" s="186"/>
      <c r="FM28" s="186"/>
      <c r="FN28" s="186"/>
      <c r="FO28" s="186"/>
      <c r="FP28" s="186"/>
      <c r="FQ28" s="186"/>
      <c r="FR28" s="186"/>
      <c r="FS28" s="186"/>
      <c r="FT28" s="186"/>
      <c r="FU28" s="186"/>
      <c r="FV28" s="186"/>
      <c r="FW28" s="186"/>
      <c r="FX28" s="186"/>
      <c r="FY28" s="186"/>
      <c r="FZ28" s="186"/>
      <c r="GA28" s="186"/>
      <c r="GB28" s="186"/>
      <c r="GC28" s="186"/>
      <c r="GD28" s="186"/>
      <c r="GE28" s="186"/>
      <c r="GF28" s="186"/>
      <c r="GG28" s="186"/>
      <c r="GH28" s="186"/>
      <c r="GI28" s="186"/>
      <c r="GJ28" s="186"/>
      <c r="GK28" s="186"/>
      <c r="GL28" s="186"/>
      <c r="GM28" s="186"/>
      <c r="GN28" s="186"/>
      <c r="GO28" s="186"/>
      <c r="GP28" s="186"/>
      <c r="GQ28" s="186"/>
      <c r="GR28" s="186"/>
      <c r="GS28" s="186"/>
      <c r="GT28" s="186"/>
      <c r="GU28" s="186"/>
      <c r="GV28" s="186"/>
      <c r="GW28" s="186"/>
      <c r="GX28" s="186"/>
      <c r="GY28" s="186"/>
      <c r="GZ28" s="186"/>
      <c r="HA28" s="186"/>
      <c r="HB28" s="186"/>
      <c r="HC28" s="186"/>
      <c r="HD28" s="186"/>
      <c r="HE28" s="186"/>
      <c r="HF28" s="186"/>
      <c r="HG28" s="186"/>
      <c r="HH28" s="186"/>
      <c r="HI28" s="186"/>
      <c r="HJ28" s="186"/>
      <c r="HK28" s="186"/>
      <c r="HL28" s="186"/>
      <c r="HM28" s="186"/>
      <c r="HN28" s="186"/>
      <c r="HO28" s="186"/>
      <c r="HP28" s="186"/>
      <c r="HQ28" s="186"/>
      <c r="HR28" s="186"/>
      <c r="HS28" s="186"/>
      <c r="HT28" s="186"/>
      <c r="HU28" s="186"/>
      <c r="HV28" s="186"/>
      <c r="HW28" s="186"/>
      <c r="HX28" s="186"/>
      <c r="HY28" s="186"/>
      <c r="HZ28" s="186"/>
      <c r="IA28" s="186"/>
      <c r="IB28" s="186"/>
      <c r="IC28" s="186"/>
      <c r="ID28" s="186"/>
      <c r="IE28" s="186"/>
      <c r="IF28" s="186"/>
      <c r="IG28" s="186"/>
      <c r="IH28" s="186"/>
      <c r="II28" s="186"/>
      <c r="IJ28" s="186"/>
      <c r="IK28" s="186"/>
      <c r="IL28" s="186"/>
      <c r="IM28" s="186"/>
      <c r="IN28" s="186"/>
      <c r="IO28" s="186"/>
      <c r="IP28" s="186"/>
      <c r="IQ28" s="186"/>
      <c r="IR28" s="186"/>
      <c r="IS28" s="186"/>
      <c r="IT28" s="186"/>
      <c r="IU28" s="186"/>
    </row>
    <row r="29" spans="1:255" s="43" customFormat="1" ht="24" x14ac:dyDescent="0.2">
      <c r="A29" s="194">
        <v>18</v>
      </c>
      <c r="B29" s="195" t="s">
        <v>793</v>
      </c>
      <c r="C29" s="195" t="s">
        <v>808</v>
      </c>
      <c r="D29" s="195" t="s">
        <v>69</v>
      </c>
      <c r="E29" s="196">
        <f t="shared" si="0"/>
        <v>9</v>
      </c>
      <c r="F29" s="309" t="s">
        <v>910</v>
      </c>
      <c r="G29" s="310"/>
      <c r="H29" s="199" t="s">
        <v>809</v>
      </c>
      <c r="I29" s="199" t="s">
        <v>471</v>
      </c>
      <c r="N29" s="186"/>
      <c r="O29" s="186">
        <f t="shared" si="1"/>
        <v>9</v>
      </c>
      <c r="P29" s="186">
        <f>[6]Source!I89</f>
        <v>9</v>
      </c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  <c r="CP29" s="186"/>
      <c r="CQ29" s="186"/>
      <c r="CR29" s="186"/>
      <c r="CS29" s="186"/>
      <c r="CT29" s="186"/>
      <c r="CU29" s="186"/>
      <c r="CV29" s="186"/>
      <c r="CW29" s="186"/>
      <c r="CX29" s="186"/>
      <c r="CY29" s="186"/>
      <c r="CZ29" s="186"/>
      <c r="DA29" s="186"/>
      <c r="DB29" s="186"/>
      <c r="DC29" s="186"/>
      <c r="DD29" s="186"/>
      <c r="DE29" s="186"/>
      <c r="DF29" s="186"/>
      <c r="DG29" s="186"/>
      <c r="DH29" s="186"/>
      <c r="DI29" s="186"/>
      <c r="DJ29" s="186"/>
      <c r="DK29" s="186"/>
      <c r="DL29" s="186"/>
      <c r="DM29" s="186"/>
      <c r="DN29" s="186"/>
      <c r="DO29" s="186"/>
      <c r="DP29" s="186"/>
      <c r="DQ29" s="186"/>
      <c r="DR29" s="186"/>
      <c r="DS29" s="186"/>
      <c r="DT29" s="186"/>
      <c r="DU29" s="186"/>
      <c r="DV29" s="186"/>
      <c r="DW29" s="186"/>
      <c r="DX29" s="186"/>
      <c r="DY29" s="186"/>
      <c r="DZ29" s="186"/>
      <c r="EA29" s="186"/>
      <c r="EB29" s="186"/>
      <c r="EC29" s="186"/>
      <c r="ED29" s="186"/>
      <c r="EE29" s="186"/>
      <c r="EF29" s="186"/>
      <c r="EG29" s="186"/>
      <c r="EH29" s="186"/>
      <c r="EI29" s="186"/>
      <c r="EJ29" s="186"/>
      <c r="EK29" s="186"/>
      <c r="EL29" s="186"/>
      <c r="EM29" s="186"/>
      <c r="EN29" s="186"/>
      <c r="EO29" s="186"/>
      <c r="EP29" s="186"/>
      <c r="EQ29" s="186"/>
      <c r="ER29" s="186"/>
      <c r="ES29" s="186"/>
      <c r="ET29" s="186"/>
      <c r="EU29" s="186"/>
      <c r="EV29" s="186"/>
      <c r="EW29" s="186"/>
      <c r="EX29" s="186"/>
      <c r="EY29" s="186"/>
      <c r="EZ29" s="186"/>
      <c r="FA29" s="186"/>
      <c r="FB29" s="186"/>
      <c r="FC29" s="186"/>
      <c r="FD29" s="186"/>
      <c r="FE29" s="186"/>
      <c r="FF29" s="186"/>
      <c r="FG29" s="186"/>
      <c r="FH29" s="186"/>
      <c r="FI29" s="186"/>
      <c r="FJ29" s="186"/>
      <c r="FK29" s="186"/>
      <c r="FL29" s="186"/>
      <c r="FM29" s="186"/>
      <c r="FN29" s="186"/>
      <c r="FO29" s="186"/>
      <c r="FP29" s="186"/>
      <c r="FQ29" s="186"/>
      <c r="FR29" s="186"/>
      <c r="FS29" s="186"/>
      <c r="FT29" s="186"/>
      <c r="FU29" s="186"/>
      <c r="FV29" s="186"/>
      <c r="FW29" s="186"/>
      <c r="FX29" s="186"/>
      <c r="FY29" s="186"/>
      <c r="FZ29" s="186"/>
      <c r="GA29" s="186"/>
      <c r="GB29" s="186"/>
      <c r="GC29" s="186"/>
      <c r="GD29" s="186"/>
      <c r="GE29" s="186"/>
      <c r="GF29" s="186"/>
      <c r="GG29" s="186"/>
      <c r="GH29" s="186"/>
      <c r="GI29" s="186"/>
      <c r="GJ29" s="186"/>
      <c r="GK29" s="186"/>
      <c r="GL29" s="186"/>
      <c r="GM29" s="186"/>
      <c r="GN29" s="186"/>
      <c r="GO29" s="186"/>
      <c r="GP29" s="186"/>
      <c r="GQ29" s="186"/>
      <c r="GR29" s="186"/>
      <c r="GS29" s="186"/>
      <c r="GT29" s="186"/>
      <c r="GU29" s="186"/>
      <c r="GV29" s="186"/>
      <c r="GW29" s="186"/>
      <c r="GX29" s="186"/>
      <c r="GY29" s="186"/>
      <c r="GZ29" s="186"/>
      <c r="HA29" s="186"/>
      <c r="HB29" s="186"/>
      <c r="HC29" s="186"/>
      <c r="HD29" s="186"/>
      <c r="HE29" s="186"/>
      <c r="HF29" s="186"/>
      <c r="HG29" s="186"/>
      <c r="HH29" s="186"/>
      <c r="HI29" s="186"/>
      <c r="HJ29" s="186"/>
      <c r="HK29" s="186"/>
      <c r="HL29" s="186"/>
      <c r="HM29" s="186"/>
      <c r="HN29" s="186"/>
      <c r="HO29" s="186"/>
      <c r="HP29" s="186"/>
      <c r="HQ29" s="186"/>
      <c r="HR29" s="186"/>
      <c r="HS29" s="186"/>
      <c r="HT29" s="186"/>
      <c r="HU29" s="186"/>
      <c r="HV29" s="186"/>
      <c r="HW29" s="186"/>
      <c r="HX29" s="186"/>
      <c r="HY29" s="186"/>
      <c r="HZ29" s="186"/>
      <c r="IA29" s="186"/>
      <c r="IB29" s="186"/>
      <c r="IC29" s="186"/>
      <c r="ID29" s="186"/>
      <c r="IE29" s="186"/>
      <c r="IF29" s="186"/>
      <c r="IG29" s="186"/>
      <c r="IH29" s="186"/>
      <c r="II29" s="186"/>
      <c r="IJ29" s="186"/>
      <c r="IK29" s="186"/>
      <c r="IL29" s="186"/>
      <c r="IM29" s="186"/>
      <c r="IN29" s="186"/>
      <c r="IO29" s="186"/>
      <c r="IP29" s="186"/>
      <c r="IQ29" s="186"/>
      <c r="IR29" s="186"/>
      <c r="IS29" s="186"/>
      <c r="IT29" s="186"/>
      <c r="IU29" s="186"/>
    </row>
    <row r="30" spans="1:255" s="43" customFormat="1" ht="24" x14ac:dyDescent="0.2">
      <c r="A30" s="194">
        <v>19</v>
      </c>
      <c r="B30" s="195" t="s">
        <v>793</v>
      </c>
      <c r="C30" s="195" t="s">
        <v>810</v>
      </c>
      <c r="D30" s="195" t="s">
        <v>69</v>
      </c>
      <c r="E30" s="196">
        <f t="shared" si="0"/>
        <v>8</v>
      </c>
      <c r="F30" s="309" t="s">
        <v>910</v>
      </c>
      <c r="G30" s="310"/>
      <c r="H30" s="199" t="s">
        <v>811</v>
      </c>
      <c r="I30" s="199" t="s">
        <v>471</v>
      </c>
      <c r="N30" s="186"/>
      <c r="O30" s="186">
        <f t="shared" si="1"/>
        <v>8</v>
      </c>
      <c r="P30" s="186">
        <f>[6]Source!I83</f>
        <v>8</v>
      </c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186"/>
      <c r="CQ30" s="186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86"/>
      <c r="DD30" s="186"/>
      <c r="DE30" s="186"/>
      <c r="DF30" s="186"/>
      <c r="DG30" s="186"/>
      <c r="DH30" s="186"/>
      <c r="DI30" s="186"/>
      <c r="DJ30" s="186"/>
      <c r="DK30" s="186"/>
      <c r="DL30" s="186"/>
      <c r="DM30" s="186"/>
      <c r="DN30" s="186"/>
      <c r="DO30" s="186"/>
      <c r="DP30" s="186"/>
      <c r="DQ30" s="186"/>
      <c r="DR30" s="186"/>
      <c r="DS30" s="186"/>
      <c r="DT30" s="186"/>
      <c r="DU30" s="186"/>
      <c r="DV30" s="186"/>
      <c r="DW30" s="186"/>
      <c r="DX30" s="186"/>
      <c r="DY30" s="186"/>
      <c r="DZ30" s="186"/>
      <c r="EA30" s="186"/>
      <c r="EB30" s="186"/>
      <c r="EC30" s="186"/>
      <c r="ED30" s="186"/>
      <c r="EE30" s="186"/>
      <c r="EF30" s="186"/>
      <c r="EG30" s="186"/>
      <c r="EH30" s="186"/>
      <c r="EI30" s="186"/>
      <c r="EJ30" s="186"/>
      <c r="EK30" s="186"/>
      <c r="EL30" s="186"/>
      <c r="EM30" s="186"/>
      <c r="EN30" s="186"/>
      <c r="EO30" s="186"/>
      <c r="EP30" s="186"/>
      <c r="EQ30" s="186"/>
      <c r="ER30" s="186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6"/>
      <c r="FF30" s="186"/>
      <c r="FG30" s="186"/>
      <c r="FH30" s="186"/>
      <c r="FI30" s="186"/>
      <c r="FJ30" s="186"/>
      <c r="FK30" s="186"/>
      <c r="FL30" s="186"/>
      <c r="FM30" s="186"/>
      <c r="FN30" s="186"/>
      <c r="FO30" s="186"/>
      <c r="FP30" s="186"/>
      <c r="FQ30" s="186"/>
      <c r="FR30" s="186"/>
      <c r="FS30" s="186"/>
      <c r="FT30" s="186"/>
      <c r="FU30" s="186"/>
      <c r="FV30" s="186"/>
      <c r="FW30" s="186"/>
      <c r="FX30" s="186"/>
      <c r="FY30" s="186"/>
      <c r="FZ30" s="186"/>
      <c r="GA30" s="186"/>
      <c r="GB30" s="186"/>
      <c r="GC30" s="186"/>
      <c r="GD30" s="186"/>
      <c r="GE30" s="186"/>
      <c r="GF30" s="186"/>
      <c r="GG30" s="186"/>
      <c r="GH30" s="186"/>
      <c r="GI30" s="186"/>
      <c r="GJ30" s="186"/>
      <c r="GK30" s="186"/>
      <c r="GL30" s="186"/>
      <c r="GM30" s="186"/>
      <c r="GN30" s="186"/>
      <c r="GO30" s="186"/>
      <c r="GP30" s="186"/>
      <c r="GQ30" s="186"/>
      <c r="GR30" s="186"/>
      <c r="GS30" s="186"/>
      <c r="GT30" s="186"/>
      <c r="GU30" s="186"/>
      <c r="GV30" s="186"/>
      <c r="GW30" s="186"/>
      <c r="GX30" s="186"/>
      <c r="GY30" s="186"/>
      <c r="GZ30" s="186"/>
      <c r="HA30" s="186"/>
      <c r="HB30" s="186"/>
      <c r="HC30" s="186"/>
      <c r="HD30" s="186"/>
      <c r="HE30" s="186"/>
      <c r="HF30" s="186"/>
      <c r="HG30" s="186"/>
      <c r="HH30" s="186"/>
      <c r="HI30" s="186"/>
      <c r="HJ30" s="186"/>
      <c r="HK30" s="186"/>
      <c r="HL30" s="186"/>
      <c r="HM30" s="186"/>
      <c r="HN30" s="186"/>
      <c r="HO30" s="186"/>
      <c r="HP30" s="186"/>
      <c r="HQ30" s="186"/>
      <c r="HR30" s="186"/>
      <c r="HS30" s="186"/>
      <c r="HT30" s="186"/>
      <c r="HU30" s="186"/>
      <c r="HV30" s="186"/>
      <c r="HW30" s="186"/>
      <c r="HX30" s="186"/>
      <c r="HY30" s="186"/>
      <c r="HZ30" s="186"/>
      <c r="IA30" s="186"/>
      <c r="IB30" s="186"/>
      <c r="IC30" s="186"/>
      <c r="ID30" s="186"/>
      <c r="IE30" s="186"/>
      <c r="IF30" s="186"/>
      <c r="IG30" s="186"/>
      <c r="IH30" s="186"/>
      <c r="II30" s="186"/>
      <c r="IJ30" s="186"/>
      <c r="IK30" s="186"/>
      <c r="IL30" s="186"/>
      <c r="IM30" s="186"/>
      <c r="IN30" s="186"/>
      <c r="IO30" s="186"/>
      <c r="IP30" s="186"/>
      <c r="IQ30" s="186"/>
      <c r="IR30" s="186"/>
      <c r="IS30" s="186"/>
      <c r="IT30" s="186"/>
      <c r="IU30" s="186"/>
    </row>
    <row r="31" spans="1:255" s="43" customFormat="1" ht="24" x14ac:dyDescent="0.2">
      <c r="A31" s="194">
        <v>20</v>
      </c>
      <c r="B31" s="195" t="s">
        <v>793</v>
      </c>
      <c r="C31" s="195" t="s">
        <v>812</v>
      </c>
      <c r="D31" s="195" t="s">
        <v>69</v>
      </c>
      <c r="E31" s="196">
        <f t="shared" si="0"/>
        <v>8</v>
      </c>
      <c r="F31" s="309" t="s">
        <v>910</v>
      </c>
      <c r="G31" s="310"/>
      <c r="H31" s="199" t="s">
        <v>813</v>
      </c>
      <c r="I31" s="199" t="s">
        <v>471</v>
      </c>
      <c r="N31" s="186"/>
      <c r="O31" s="186">
        <f t="shared" si="1"/>
        <v>8</v>
      </c>
      <c r="P31" s="186">
        <f>[6]Source!I85</f>
        <v>8</v>
      </c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  <c r="CP31" s="186"/>
      <c r="CQ31" s="186"/>
      <c r="CR31" s="186"/>
      <c r="CS31" s="186"/>
      <c r="CT31" s="186"/>
      <c r="CU31" s="186"/>
      <c r="CV31" s="186"/>
      <c r="CW31" s="186"/>
      <c r="CX31" s="186"/>
      <c r="CY31" s="186"/>
      <c r="CZ31" s="186"/>
      <c r="DA31" s="186"/>
      <c r="DB31" s="186"/>
      <c r="DC31" s="186"/>
      <c r="DD31" s="186"/>
      <c r="DE31" s="186"/>
      <c r="DF31" s="186"/>
      <c r="DG31" s="186"/>
      <c r="DH31" s="186"/>
      <c r="DI31" s="186"/>
      <c r="DJ31" s="186"/>
      <c r="DK31" s="186"/>
      <c r="DL31" s="186"/>
      <c r="DM31" s="186"/>
      <c r="DN31" s="186"/>
      <c r="DO31" s="186"/>
      <c r="DP31" s="186"/>
      <c r="DQ31" s="186"/>
      <c r="DR31" s="186"/>
      <c r="DS31" s="186"/>
      <c r="DT31" s="186"/>
      <c r="DU31" s="186"/>
      <c r="DV31" s="186"/>
      <c r="DW31" s="186"/>
      <c r="DX31" s="186"/>
      <c r="DY31" s="186"/>
      <c r="DZ31" s="186"/>
      <c r="EA31" s="186"/>
      <c r="EB31" s="186"/>
      <c r="EC31" s="186"/>
      <c r="ED31" s="186"/>
      <c r="EE31" s="186"/>
      <c r="EF31" s="186"/>
      <c r="EG31" s="186"/>
      <c r="EH31" s="186"/>
      <c r="EI31" s="186"/>
      <c r="EJ31" s="186"/>
      <c r="EK31" s="186"/>
      <c r="EL31" s="186"/>
      <c r="EM31" s="186"/>
      <c r="EN31" s="186"/>
      <c r="EO31" s="186"/>
      <c r="EP31" s="186"/>
      <c r="EQ31" s="186"/>
      <c r="ER31" s="186"/>
      <c r="ES31" s="186"/>
      <c r="ET31" s="186"/>
      <c r="EU31" s="186"/>
      <c r="EV31" s="186"/>
      <c r="EW31" s="186"/>
      <c r="EX31" s="186"/>
      <c r="EY31" s="186"/>
      <c r="EZ31" s="186"/>
      <c r="FA31" s="186"/>
      <c r="FB31" s="186"/>
      <c r="FC31" s="186"/>
      <c r="FD31" s="186"/>
      <c r="FE31" s="186"/>
      <c r="FF31" s="186"/>
      <c r="FG31" s="186"/>
      <c r="FH31" s="186"/>
      <c r="FI31" s="186"/>
      <c r="FJ31" s="186"/>
      <c r="FK31" s="186"/>
      <c r="FL31" s="186"/>
      <c r="FM31" s="186"/>
      <c r="FN31" s="186"/>
      <c r="FO31" s="186"/>
      <c r="FP31" s="186"/>
      <c r="FQ31" s="186"/>
      <c r="FR31" s="186"/>
      <c r="FS31" s="186"/>
      <c r="FT31" s="186"/>
      <c r="FU31" s="186"/>
      <c r="FV31" s="186"/>
      <c r="FW31" s="186"/>
      <c r="FX31" s="186"/>
      <c r="FY31" s="186"/>
      <c r="FZ31" s="186"/>
      <c r="GA31" s="186"/>
      <c r="GB31" s="186"/>
      <c r="GC31" s="186"/>
      <c r="GD31" s="186"/>
      <c r="GE31" s="186"/>
      <c r="GF31" s="186"/>
      <c r="GG31" s="186"/>
      <c r="GH31" s="186"/>
      <c r="GI31" s="186"/>
      <c r="GJ31" s="186"/>
      <c r="GK31" s="186"/>
      <c r="GL31" s="186"/>
      <c r="GM31" s="186"/>
      <c r="GN31" s="186"/>
      <c r="GO31" s="186"/>
      <c r="GP31" s="186"/>
      <c r="GQ31" s="186"/>
      <c r="GR31" s="186"/>
      <c r="GS31" s="186"/>
      <c r="GT31" s="186"/>
      <c r="GU31" s="186"/>
      <c r="GV31" s="186"/>
      <c r="GW31" s="186"/>
      <c r="GX31" s="186"/>
      <c r="GY31" s="186"/>
      <c r="GZ31" s="186"/>
      <c r="HA31" s="186"/>
      <c r="HB31" s="186"/>
      <c r="HC31" s="186"/>
      <c r="HD31" s="186"/>
      <c r="HE31" s="186"/>
      <c r="HF31" s="186"/>
      <c r="HG31" s="186"/>
      <c r="HH31" s="186"/>
      <c r="HI31" s="186"/>
      <c r="HJ31" s="186"/>
      <c r="HK31" s="186"/>
      <c r="HL31" s="186"/>
      <c r="HM31" s="186"/>
      <c r="HN31" s="186"/>
      <c r="HO31" s="186"/>
      <c r="HP31" s="186"/>
      <c r="HQ31" s="186"/>
      <c r="HR31" s="186"/>
      <c r="HS31" s="186"/>
      <c r="HT31" s="186"/>
      <c r="HU31" s="186"/>
      <c r="HV31" s="186"/>
      <c r="HW31" s="186"/>
      <c r="HX31" s="186"/>
      <c r="HY31" s="186"/>
      <c r="HZ31" s="186"/>
      <c r="IA31" s="186"/>
      <c r="IB31" s="186"/>
      <c r="IC31" s="186"/>
      <c r="ID31" s="186"/>
      <c r="IE31" s="186"/>
      <c r="IF31" s="186"/>
      <c r="IG31" s="186"/>
      <c r="IH31" s="186"/>
      <c r="II31" s="186"/>
      <c r="IJ31" s="186"/>
      <c r="IK31" s="186"/>
      <c r="IL31" s="186"/>
      <c r="IM31" s="186"/>
      <c r="IN31" s="186"/>
      <c r="IO31" s="186"/>
      <c r="IP31" s="186"/>
      <c r="IQ31" s="186"/>
      <c r="IR31" s="186"/>
      <c r="IS31" s="186"/>
      <c r="IT31" s="186"/>
      <c r="IU31" s="186"/>
    </row>
    <row r="32" spans="1:255" s="43" customFormat="1" ht="24" x14ac:dyDescent="0.2">
      <c r="A32" s="194">
        <v>21</v>
      </c>
      <c r="B32" s="195" t="s">
        <v>793</v>
      </c>
      <c r="C32" s="195" t="s">
        <v>814</v>
      </c>
      <c r="D32" s="195" t="s">
        <v>69</v>
      </c>
      <c r="E32" s="196">
        <f t="shared" si="0"/>
        <v>9</v>
      </c>
      <c r="F32" s="309" t="s">
        <v>910</v>
      </c>
      <c r="G32" s="310"/>
      <c r="H32" s="199" t="s">
        <v>815</v>
      </c>
      <c r="I32" s="199" t="s">
        <v>471</v>
      </c>
      <c r="N32" s="186"/>
      <c r="O32" s="186">
        <f t="shared" si="1"/>
        <v>9</v>
      </c>
      <c r="P32" s="186">
        <f>[6]Source!I87</f>
        <v>9</v>
      </c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  <c r="CP32" s="186"/>
      <c r="CQ32" s="186"/>
      <c r="CR32" s="186"/>
      <c r="CS32" s="186"/>
      <c r="CT32" s="186"/>
      <c r="CU32" s="186"/>
      <c r="CV32" s="186"/>
      <c r="CW32" s="186"/>
      <c r="CX32" s="186"/>
      <c r="CY32" s="186"/>
      <c r="CZ32" s="186"/>
      <c r="DA32" s="186"/>
      <c r="DB32" s="186"/>
      <c r="DC32" s="186"/>
      <c r="DD32" s="186"/>
      <c r="DE32" s="186"/>
      <c r="DF32" s="186"/>
      <c r="DG32" s="186"/>
      <c r="DH32" s="186"/>
      <c r="DI32" s="186"/>
      <c r="DJ32" s="186"/>
      <c r="DK32" s="186"/>
      <c r="DL32" s="186"/>
      <c r="DM32" s="186"/>
      <c r="DN32" s="186"/>
      <c r="DO32" s="186"/>
      <c r="DP32" s="186"/>
      <c r="DQ32" s="186"/>
      <c r="DR32" s="186"/>
      <c r="DS32" s="186"/>
      <c r="DT32" s="186"/>
      <c r="DU32" s="186"/>
      <c r="DV32" s="186"/>
      <c r="DW32" s="186"/>
      <c r="DX32" s="186"/>
      <c r="DY32" s="186"/>
      <c r="DZ32" s="186"/>
      <c r="EA32" s="186"/>
      <c r="EB32" s="186"/>
      <c r="EC32" s="186"/>
      <c r="ED32" s="186"/>
      <c r="EE32" s="186"/>
      <c r="EF32" s="186"/>
      <c r="EG32" s="186"/>
      <c r="EH32" s="186"/>
      <c r="EI32" s="186"/>
      <c r="EJ32" s="186"/>
      <c r="EK32" s="186"/>
      <c r="EL32" s="186"/>
      <c r="EM32" s="186"/>
      <c r="EN32" s="186"/>
      <c r="EO32" s="186"/>
      <c r="EP32" s="186"/>
      <c r="EQ32" s="186"/>
      <c r="ER32" s="186"/>
      <c r="ES32" s="186"/>
      <c r="ET32" s="186"/>
      <c r="EU32" s="186"/>
      <c r="EV32" s="186"/>
      <c r="EW32" s="186"/>
      <c r="EX32" s="186"/>
      <c r="EY32" s="186"/>
      <c r="EZ32" s="186"/>
      <c r="FA32" s="186"/>
      <c r="FB32" s="186"/>
      <c r="FC32" s="186"/>
      <c r="FD32" s="186"/>
      <c r="FE32" s="186"/>
      <c r="FF32" s="186"/>
      <c r="FG32" s="186"/>
      <c r="FH32" s="186"/>
      <c r="FI32" s="186"/>
      <c r="FJ32" s="186"/>
      <c r="FK32" s="186"/>
      <c r="FL32" s="186"/>
      <c r="FM32" s="186"/>
      <c r="FN32" s="186"/>
      <c r="FO32" s="186"/>
      <c r="FP32" s="186"/>
      <c r="FQ32" s="186"/>
      <c r="FR32" s="186"/>
      <c r="FS32" s="186"/>
      <c r="FT32" s="186"/>
      <c r="FU32" s="186"/>
      <c r="FV32" s="186"/>
      <c r="FW32" s="186"/>
      <c r="FX32" s="186"/>
      <c r="FY32" s="186"/>
      <c r="FZ32" s="186"/>
      <c r="GA32" s="186"/>
      <c r="GB32" s="186"/>
      <c r="GC32" s="186"/>
      <c r="GD32" s="186"/>
      <c r="GE32" s="186"/>
      <c r="GF32" s="186"/>
      <c r="GG32" s="186"/>
      <c r="GH32" s="186"/>
      <c r="GI32" s="186"/>
      <c r="GJ32" s="186"/>
      <c r="GK32" s="186"/>
      <c r="GL32" s="186"/>
      <c r="GM32" s="186"/>
      <c r="GN32" s="186"/>
      <c r="GO32" s="186"/>
      <c r="GP32" s="186"/>
      <c r="GQ32" s="186"/>
      <c r="GR32" s="186"/>
      <c r="GS32" s="186"/>
      <c r="GT32" s="186"/>
      <c r="GU32" s="186"/>
      <c r="GV32" s="186"/>
      <c r="GW32" s="186"/>
      <c r="GX32" s="186"/>
      <c r="GY32" s="186"/>
      <c r="GZ32" s="186"/>
      <c r="HA32" s="186"/>
      <c r="HB32" s="186"/>
      <c r="HC32" s="186"/>
      <c r="HD32" s="186"/>
      <c r="HE32" s="186"/>
      <c r="HF32" s="186"/>
      <c r="HG32" s="186"/>
      <c r="HH32" s="186"/>
      <c r="HI32" s="186"/>
      <c r="HJ32" s="186"/>
      <c r="HK32" s="186"/>
      <c r="HL32" s="186"/>
      <c r="HM32" s="186"/>
      <c r="HN32" s="186"/>
      <c r="HO32" s="186"/>
      <c r="HP32" s="186"/>
      <c r="HQ32" s="186"/>
      <c r="HR32" s="186"/>
      <c r="HS32" s="186"/>
      <c r="HT32" s="186"/>
      <c r="HU32" s="186"/>
      <c r="HV32" s="186"/>
      <c r="HW32" s="186"/>
      <c r="HX32" s="186"/>
      <c r="HY32" s="186"/>
      <c r="HZ32" s="186"/>
      <c r="IA32" s="186"/>
      <c r="IB32" s="186"/>
      <c r="IC32" s="186"/>
      <c r="ID32" s="186"/>
      <c r="IE32" s="186"/>
      <c r="IF32" s="186"/>
      <c r="IG32" s="186"/>
      <c r="IH32" s="186"/>
      <c r="II32" s="186"/>
      <c r="IJ32" s="186"/>
      <c r="IK32" s="186"/>
      <c r="IL32" s="186"/>
      <c r="IM32" s="186"/>
      <c r="IN32" s="186"/>
      <c r="IO32" s="186"/>
      <c r="IP32" s="186"/>
      <c r="IQ32" s="186"/>
      <c r="IR32" s="186"/>
      <c r="IS32" s="186"/>
      <c r="IT32" s="186"/>
      <c r="IU32" s="186"/>
    </row>
    <row r="33" spans="1:255" s="43" customFormat="1" ht="36" x14ac:dyDescent="0.2">
      <c r="A33" s="194">
        <v>22</v>
      </c>
      <c r="B33" s="195" t="s">
        <v>793</v>
      </c>
      <c r="C33" s="195" t="s">
        <v>816</v>
      </c>
      <c r="D33" s="195" t="s">
        <v>69</v>
      </c>
      <c r="E33" s="196">
        <f t="shared" si="0"/>
        <v>9</v>
      </c>
      <c r="F33" s="309" t="s">
        <v>910</v>
      </c>
      <c r="G33" s="310"/>
      <c r="H33" s="199" t="s">
        <v>817</v>
      </c>
      <c r="I33" s="199" t="s">
        <v>471</v>
      </c>
      <c r="N33" s="186"/>
      <c r="O33" s="186">
        <f t="shared" si="1"/>
        <v>9</v>
      </c>
      <c r="P33" s="186">
        <f>[6]Source!I93</f>
        <v>9</v>
      </c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  <c r="CP33" s="186"/>
      <c r="CQ33" s="186"/>
      <c r="CR33" s="186"/>
      <c r="CS33" s="186"/>
      <c r="CT33" s="186"/>
      <c r="CU33" s="186"/>
      <c r="CV33" s="186"/>
      <c r="CW33" s="186"/>
      <c r="CX33" s="186"/>
      <c r="CY33" s="186"/>
      <c r="CZ33" s="186"/>
      <c r="DA33" s="186"/>
      <c r="DB33" s="186"/>
      <c r="DC33" s="186"/>
      <c r="DD33" s="186"/>
      <c r="DE33" s="186"/>
      <c r="DF33" s="186"/>
      <c r="DG33" s="186"/>
      <c r="DH33" s="186"/>
      <c r="DI33" s="186"/>
      <c r="DJ33" s="186"/>
      <c r="DK33" s="186"/>
      <c r="DL33" s="186"/>
      <c r="DM33" s="186"/>
      <c r="DN33" s="186"/>
      <c r="DO33" s="186"/>
      <c r="DP33" s="186"/>
      <c r="DQ33" s="186"/>
      <c r="DR33" s="186"/>
      <c r="DS33" s="186"/>
      <c r="DT33" s="186"/>
      <c r="DU33" s="186"/>
      <c r="DV33" s="186"/>
      <c r="DW33" s="186"/>
      <c r="DX33" s="186"/>
      <c r="DY33" s="186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6"/>
      <c r="EK33" s="186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6"/>
      <c r="EW33" s="186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6"/>
      <c r="FI33" s="186"/>
      <c r="FJ33" s="186"/>
      <c r="FK33" s="186"/>
      <c r="FL33" s="186"/>
      <c r="FM33" s="186"/>
      <c r="FN33" s="186"/>
      <c r="FO33" s="186"/>
      <c r="FP33" s="186"/>
      <c r="FQ33" s="186"/>
      <c r="FR33" s="186"/>
      <c r="FS33" s="186"/>
      <c r="FT33" s="186"/>
      <c r="FU33" s="186"/>
      <c r="FV33" s="186"/>
      <c r="FW33" s="186"/>
      <c r="FX33" s="186"/>
      <c r="FY33" s="186"/>
      <c r="FZ33" s="186"/>
      <c r="GA33" s="186"/>
      <c r="GB33" s="186"/>
      <c r="GC33" s="186"/>
      <c r="GD33" s="186"/>
      <c r="GE33" s="186"/>
      <c r="GF33" s="186"/>
      <c r="GG33" s="186"/>
      <c r="GH33" s="186"/>
      <c r="GI33" s="186"/>
      <c r="GJ33" s="186"/>
      <c r="GK33" s="186"/>
      <c r="GL33" s="186"/>
      <c r="GM33" s="186"/>
      <c r="GN33" s="186"/>
      <c r="GO33" s="186"/>
      <c r="GP33" s="186"/>
      <c r="GQ33" s="186"/>
      <c r="GR33" s="186"/>
      <c r="GS33" s="186"/>
      <c r="GT33" s="186"/>
      <c r="GU33" s="186"/>
      <c r="GV33" s="186"/>
      <c r="GW33" s="186"/>
      <c r="GX33" s="186"/>
      <c r="GY33" s="186"/>
      <c r="GZ33" s="186"/>
      <c r="HA33" s="186"/>
      <c r="HB33" s="186"/>
      <c r="HC33" s="186"/>
      <c r="HD33" s="186"/>
      <c r="HE33" s="186"/>
      <c r="HF33" s="186"/>
      <c r="HG33" s="186"/>
      <c r="HH33" s="186"/>
      <c r="HI33" s="186"/>
      <c r="HJ33" s="186"/>
      <c r="HK33" s="186"/>
      <c r="HL33" s="186"/>
      <c r="HM33" s="186"/>
      <c r="HN33" s="186"/>
      <c r="HO33" s="186"/>
      <c r="HP33" s="186"/>
      <c r="HQ33" s="186"/>
      <c r="HR33" s="186"/>
      <c r="HS33" s="186"/>
      <c r="HT33" s="186"/>
      <c r="HU33" s="186"/>
      <c r="HV33" s="186"/>
      <c r="HW33" s="186"/>
      <c r="HX33" s="186"/>
      <c r="HY33" s="186"/>
      <c r="HZ33" s="186"/>
      <c r="IA33" s="186"/>
      <c r="IB33" s="186"/>
      <c r="IC33" s="186"/>
      <c r="ID33" s="186"/>
      <c r="IE33" s="186"/>
      <c r="IF33" s="186"/>
      <c r="IG33" s="186"/>
      <c r="IH33" s="186"/>
      <c r="II33" s="186"/>
      <c r="IJ33" s="186"/>
      <c r="IK33" s="186"/>
      <c r="IL33" s="186"/>
      <c r="IM33" s="186"/>
      <c r="IN33" s="186"/>
      <c r="IO33" s="186"/>
      <c r="IP33" s="186"/>
      <c r="IQ33" s="186"/>
      <c r="IR33" s="186"/>
      <c r="IS33" s="186"/>
      <c r="IT33" s="186"/>
      <c r="IU33" s="186"/>
    </row>
    <row r="34" spans="1:255" s="43" customFormat="1" ht="36" x14ac:dyDescent="0.2">
      <c r="A34" s="194">
        <v>23</v>
      </c>
      <c r="B34" s="195" t="s">
        <v>793</v>
      </c>
      <c r="C34" s="195" t="s">
        <v>818</v>
      </c>
      <c r="D34" s="195" t="s">
        <v>69</v>
      </c>
      <c r="E34" s="196">
        <f t="shared" si="0"/>
        <v>9</v>
      </c>
      <c r="F34" s="309" t="s">
        <v>910</v>
      </c>
      <c r="G34" s="310"/>
      <c r="H34" s="199" t="s">
        <v>819</v>
      </c>
      <c r="I34" s="199" t="s">
        <v>471</v>
      </c>
      <c r="N34" s="186"/>
      <c r="O34" s="186">
        <f t="shared" si="1"/>
        <v>9</v>
      </c>
      <c r="P34" s="186">
        <f>[6]Source!I95</f>
        <v>9</v>
      </c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6"/>
      <c r="EE34" s="186"/>
      <c r="EF34" s="186"/>
      <c r="EG34" s="186"/>
      <c r="EH34" s="186"/>
      <c r="EI34" s="186"/>
      <c r="EJ34" s="186"/>
      <c r="EK34" s="186"/>
      <c r="EL34" s="186"/>
      <c r="EM34" s="186"/>
      <c r="EN34" s="186"/>
      <c r="EO34" s="186"/>
      <c r="EP34" s="186"/>
      <c r="EQ34" s="186"/>
      <c r="ER34" s="186"/>
      <c r="ES34" s="186"/>
      <c r="ET34" s="186"/>
      <c r="EU34" s="186"/>
      <c r="EV34" s="186"/>
      <c r="EW34" s="186"/>
      <c r="EX34" s="186"/>
      <c r="EY34" s="186"/>
      <c r="EZ34" s="186"/>
      <c r="FA34" s="186"/>
      <c r="FB34" s="186"/>
      <c r="FC34" s="186"/>
      <c r="FD34" s="186"/>
      <c r="FE34" s="186"/>
      <c r="FF34" s="186"/>
      <c r="FG34" s="186"/>
      <c r="FH34" s="186"/>
      <c r="FI34" s="186"/>
      <c r="FJ34" s="186"/>
      <c r="FK34" s="186"/>
      <c r="FL34" s="186"/>
      <c r="FM34" s="186"/>
      <c r="FN34" s="186"/>
      <c r="FO34" s="186"/>
      <c r="FP34" s="186"/>
      <c r="FQ34" s="186"/>
      <c r="FR34" s="186"/>
      <c r="FS34" s="186"/>
      <c r="FT34" s="186"/>
      <c r="FU34" s="186"/>
      <c r="FV34" s="186"/>
      <c r="FW34" s="186"/>
      <c r="FX34" s="186"/>
      <c r="FY34" s="186"/>
      <c r="FZ34" s="186"/>
      <c r="GA34" s="186"/>
      <c r="GB34" s="186"/>
      <c r="GC34" s="186"/>
      <c r="GD34" s="186"/>
      <c r="GE34" s="186"/>
      <c r="GF34" s="186"/>
      <c r="GG34" s="186"/>
      <c r="GH34" s="186"/>
      <c r="GI34" s="186"/>
      <c r="GJ34" s="186"/>
      <c r="GK34" s="186"/>
      <c r="GL34" s="186"/>
      <c r="GM34" s="186"/>
      <c r="GN34" s="186"/>
      <c r="GO34" s="186"/>
      <c r="GP34" s="186"/>
      <c r="GQ34" s="186"/>
      <c r="GR34" s="186"/>
      <c r="GS34" s="186"/>
      <c r="GT34" s="186"/>
      <c r="GU34" s="186"/>
      <c r="GV34" s="186"/>
      <c r="GW34" s="186"/>
      <c r="GX34" s="186"/>
      <c r="GY34" s="186"/>
      <c r="GZ34" s="186"/>
      <c r="HA34" s="186"/>
      <c r="HB34" s="186"/>
      <c r="HC34" s="186"/>
      <c r="HD34" s="186"/>
      <c r="HE34" s="186"/>
      <c r="HF34" s="186"/>
      <c r="HG34" s="186"/>
      <c r="HH34" s="186"/>
      <c r="HI34" s="186"/>
      <c r="HJ34" s="186"/>
      <c r="HK34" s="186"/>
      <c r="HL34" s="186"/>
      <c r="HM34" s="186"/>
      <c r="HN34" s="186"/>
      <c r="HO34" s="186"/>
      <c r="HP34" s="186"/>
      <c r="HQ34" s="186"/>
      <c r="HR34" s="186"/>
      <c r="HS34" s="186"/>
      <c r="HT34" s="186"/>
      <c r="HU34" s="186"/>
      <c r="HV34" s="186"/>
      <c r="HW34" s="186"/>
      <c r="HX34" s="186"/>
      <c r="HY34" s="186"/>
      <c r="HZ34" s="186"/>
      <c r="IA34" s="186"/>
      <c r="IB34" s="186"/>
      <c r="IC34" s="186"/>
      <c r="ID34" s="186"/>
      <c r="IE34" s="186"/>
      <c r="IF34" s="186"/>
      <c r="IG34" s="186"/>
      <c r="IH34" s="186"/>
      <c r="II34" s="186"/>
      <c r="IJ34" s="186"/>
      <c r="IK34" s="186"/>
      <c r="IL34" s="186"/>
      <c r="IM34" s="186"/>
      <c r="IN34" s="186"/>
      <c r="IO34" s="186"/>
      <c r="IP34" s="186"/>
      <c r="IQ34" s="186"/>
      <c r="IR34" s="186"/>
      <c r="IS34" s="186"/>
      <c r="IT34" s="186"/>
      <c r="IU34" s="186"/>
    </row>
    <row r="35" spans="1:255" s="43" customFormat="1" ht="36" x14ac:dyDescent="0.2">
      <c r="A35" s="194">
        <v>24</v>
      </c>
      <c r="B35" s="195" t="s">
        <v>793</v>
      </c>
      <c r="C35" s="195" t="s">
        <v>820</v>
      </c>
      <c r="D35" s="195" t="s">
        <v>69</v>
      </c>
      <c r="E35" s="196">
        <f t="shared" si="0"/>
        <v>9</v>
      </c>
      <c r="F35" s="309" t="s">
        <v>910</v>
      </c>
      <c r="G35" s="310"/>
      <c r="H35" s="199" t="s">
        <v>821</v>
      </c>
      <c r="I35" s="199" t="s">
        <v>471</v>
      </c>
      <c r="N35" s="186"/>
      <c r="O35" s="186">
        <f t="shared" si="1"/>
        <v>9</v>
      </c>
      <c r="P35" s="186">
        <f>[6]Source!I97</f>
        <v>9</v>
      </c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  <c r="CP35" s="186"/>
      <c r="CQ35" s="186"/>
      <c r="CR35" s="186"/>
      <c r="CS35" s="186"/>
      <c r="CT35" s="186"/>
      <c r="CU35" s="186"/>
      <c r="CV35" s="186"/>
      <c r="CW35" s="186"/>
      <c r="CX35" s="186"/>
      <c r="CY35" s="186"/>
      <c r="CZ35" s="186"/>
      <c r="DA35" s="186"/>
      <c r="DB35" s="186"/>
      <c r="DC35" s="186"/>
      <c r="DD35" s="186"/>
      <c r="DE35" s="186"/>
      <c r="DF35" s="186"/>
      <c r="DG35" s="186"/>
      <c r="DH35" s="186"/>
      <c r="DI35" s="186"/>
      <c r="DJ35" s="186"/>
      <c r="DK35" s="186"/>
      <c r="DL35" s="186"/>
      <c r="DM35" s="186"/>
      <c r="DN35" s="186"/>
      <c r="DO35" s="186"/>
      <c r="DP35" s="186"/>
      <c r="DQ35" s="186"/>
      <c r="DR35" s="186"/>
      <c r="DS35" s="186"/>
      <c r="DT35" s="186"/>
      <c r="DU35" s="186"/>
      <c r="DV35" s="186"/>
      <c r="DW35" s="186"/>
      <c r="DX35" s="186"/>
      <c r="DY35" s="186"/>
      <c r="DZ35" s="186"/>
      <c r="EA35" s="186"/>
      <c r="EB35" s="186"/>
      <c r="EC35" s="186"/>
      <c r="ED35" s="186"/>
      <c r="EE35" s="186"/>
      <c r="EF35" s="186"/>
      <c r="EG35" s="186"/>
      <c r="EH35" s="186"/>
      <c r="EI35" s="186"/>
      <c r="EJ35" s="186"/>
      <c r="EK35" s="186"/>
      <c r="EL35" s="186"/>
      <c r="EM35" s="186"/>
      <c r="EN35" s="186"/>
      <c r="EO35" s="186"/>
      <c r="EP35" s="186"/>
      <c r="EQ35" s="186"/>
      <c r="ER35" s="186"/>
      <c r="ES35" s="186"/>
      <c r="ET35" s="186"/>
      <c r="EU35" s="186"/>
      <c r="EV35" s="186"/>
      <c r="EW35" s="186"/>
      <c r="EX35" s="186"/>
      <c r="EY35" s="186"/>
      <c r="EZ35" s="186"/>
      <c r="FA35" s="186"/>
      <c r="FB35" s="186"/>
      <c r="FC35" s="186"/>
      <c r="FD35" s="186"/>
      <c r="FE35" s="186"/>
      <c r="FF35" s="186"/>
      <c r="FG35" s="186"/>
      <c r="FH35" s="186"/>
      <c r="FI35" s="186"/>
      <c r="FJ35" s="186"/>
      <c r="FK35" s="186"/>
      <c r="FL35" s="186"/>
      <c r="FM35" s="186"/>
      <c r="FN35" s="186"/>
      <c r="FO35" s="186"/>
      <c r="FP35" s="186"/>
      <c r="FQ35" s="186"/>
      <c r="FR35" s="186"/>
      <c r="FS35" s="186"/>
      <c r="FT35" s="186"/>
      <c r="FU35" s="186"/>
      <c r="FV35" s="186"/>
      <c r="FW35" s="186"/>
      <c r="FX35" s="186"/>
      <c r="FY35" s="186"/>
      <c r="FZ35" s="186"/>
      <c r="GA35" s="186"/>
      <c r="GB35" s="186"/>
      <c r="GC35" s="186"/>
      <c r="GD35" s="186"/>
      <c r="GE35" s="186"/>
      <c r="GF35" s="186"/>
      <c r="GG35" s="186"/>
      <c r="GH35" s="186"/>
      <c r="GI35" s="186"/>
      <c r="GJ35" s="186"/>
      <c r="GK35" s="186"/>
      <c r="GL35" s="186"/>
      <c r="GM35" s="186"/>
      <c r="GN35" s="186"/>
      <c r="GO35" s="186"/>
      <c r="GP35" s="186"/>
      <c r="GQ35" s="186"/>
      <c r="GR35" s="186"/>
      <c r="GS35" s="186"/>
      <c r="GT35" s="186"/>
      <c r="GU35" s="186"/>
      <c r="GV35" s="186"/>
      <c r="GW35" s="186"/>
      <c r="GX35" s="186"/>
      <c r="GY35" s="186"/>
      <c r="GZ35" s="186"/>
      <c r="HA35" s="186"/>
      <c r="HB35" s="186"/>
      <c r="HC35" s="186"/>
      <c r="HD35" s="186"/>
      <c r="HE35" s="186"/>
      <c r="HF35" s="186"/>
      <c r="HG35" s="186"/>
      <c r="HH35" s="186"/>
      <c r="HI35" s="186"/>
      <c r="HJ35" s="186"/>
      <c r="HK35" s="186"/>
      <c r="HL35" s="186"/>
      <c r="HM35" s="186"/>
      <c r="HN35" s="186"/>
      <c r="HO35" s="186"/>
      <c r="HP35" s="186"/>
      <c r="HQ35" s="186"/>
      <c r="HR35" s="186"/>
      <c r="HS35" s="186"/>
      <c r="HT35" s="186"/>
      <c r="HU35" s="186"/>
      <c r="HV35" s="186"/>
      <c r="HW35" s="186"/>
      <c r="HX35" s="186"/>
      <c r="HY35" s="186"/>
      <c r="HZ35" s="186"/>
      <c r="IA35" s="186"/>
      <c r="IB35" s="186"/>
      <c r="IC35" s="186"/>
      <c r="ID35" s="186"/>
      <c r="IE35" s="186"/>
      <c r="IF35" s="186"/>
      <c r="IG35" s="186"/>
      <c r="IH35" s="186"/>
      <c r="II35" s="186"/>
      <c r="IJ35" s="186"/>
      <c r="IK35" s="186"/>
      <c r="IL35" s="186"/>
      <c r="IM35" s="186"/>
      <c r="IN35" s="186"/>
      <c r="IO35" s="186"/>
      <c r="IP35" s="186"/>
      <c r="IQ35" s="186"/>
      <c r="IR35" s="186"/>
      <c r="IS35" s="186"/>
      <c r="IT35" s="186"/>
      <c r="IU35" s="186"/>
    </row>
    <row r="36" spans="1:255" s="43" customFormat="1" ht="36" x14ac:dyDescent="0.2">
      <c r="A36" s="194">
        <v>25</v>
      </c>
      <c r="B36" s="195" t="s">
        <v>793</v>
      </c>
      <c r="C36" s="195" t="s">
        <v>822</v>
      </c>
      <c r="D36" s="195" t="s">
        <v>69</v>
      </c>
      <c r="E36" s="196">
        <f t="shared" si="0"/>
        <v>9</v>
      </c>
      <c r="F36" s="309" t="s">
        <v>910</v>
      </c>
      <c r="G36" s="310"/>
      <c r="H36" s="199" t="s">
        <v>823</v>
      </c>
      <c r="I36" s="199" t="s">
        <v>471</v>
      </c>
      <c r="N36" s="186"/>
      <c r="O36" s="186">
        <f t="shared" si="1"/>
        <v>9</v>
      </c>
      <c r="P36" s="186">
        <f>[6]Source!I99</f>
        <v>9</v>
      </c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6"/>
      <c r="DP36" s="186"/>
      <c r="DQ36" s="186"/>
      <c r="DR36" s="186"/>
      <c r="DS36" s="186"/>
      <c r="DT36" s="186"/>
      <c r="DU36" s="186"/>
      <c r="DV36" s="186"/>
      <c r="DW36" s="186"/>
      <c r="DX36" s="186"/>
      <c r="DY36" s="186"/>
      <c r="DZ36" s="186"/>
      <c r="EA36" s="186"/>
      <c r="EB36" s="186"/>
      <c r="EC36" s="186"/>
      <c r="ED36" s="186"/>
      <c r="EE36" s="186"/>
      <c r="EF36" s="186"/>
      <c r="EG36" s="186"/>
      <c r="EH36" s="186"/>
      <c r="EI36" s="186"/>
      <c r="EJ36" s="186"/>
      <c r="EK36" s="186"/>
      <c r="EL36" s="186"/>
      <c r="EM36" s="186"/>
      <c r="EN36" s="186"/>
      <c r="EO36" s="186"/>
      <c r="EP36" s="186"/>
      <c r="EQ36" s="186"/>
      <c r="ER36" s="186"/>
      <c r="ES36" s="186"/>
      <c r="ET36" s="186"/>
      <c r="EU36" s="186"/>
      <c r="EV36" s="186"/>
      <c r="EW36" s="186"/>
      <c r="EX36" s="186"/>
      <c r="EY36" s="186"/>
      <c r="EZ36" s="186"/>
      <c r="FA36" s="186"/>
      <c r="FB36" s="186"/>
      <c r="FC36" s="186"/>
      <c r="FD36" s="186"/>
      <c r="FE36" s="186"/>
      <c r="FF36" s="186"/>
      <c r="FG36" s="186"/>
      <c r="FH36" s="186"/>
      <c r="FI36" s="186"/>
      <c r="FJ36" s="186"/>
      <c r="FK36" s="186"/>
      <c r="FL36" s="186"/>
      <c r="FM36" s="186"/>
      <c r="FN36" s="186"/>
      <c r="FO36" s="186"/>
      <c r="FP36" s="186"/>
      <c r="FQ36" s="186"/>
      <c r="FR36" s="186"/>
      <c r="FS36" s="186"/>
      <c r="FT36" s="186"/>
      <c r="FU36" s="186"/>
      <c r="FV36" s="186"/>
      <c r="FW36" s="186"/>
      <c r="FX36" s="186"/>
      <c r="FY36" s="186"/>
      <c r="FZ36" s="186"/>
      <c r="GA36" s="186"/>
      <c r="GB36" s="186"/>
      <c r="GC36" s="186"/>
      <c r="GD36" s="186"/>
      <c r="GE36" s="186"/>
      <c r="GF36" s="186"/>
      <c r="GG36" s="186"/>
      <c r="GH36" s="186"/>
      <c r="GI36" s="186"/>
      <c r="GJ36" s="186"/>
      <c r="GK36" s="186"/>
      <c r="GL36" s="186"/>
      <c r="GM36" s="186"/>
      <c r="GN36" s="186"/>
      <c r="GO36" s="186"/>
      <c r="GP36" s="186"/>
      <c r="GQ36" s="186"/>
      <c r="GR36" s="186"/>
      <c r="GS36" s="186"/>
      <c r="GT36" s="186"/>
      <c r="GU36" s="186"/>
      <c r="GV36" s="186"/>
      <c r="GW36" s="186"/>
      <c r="GX36" s="186"/>
      <c r="GY36" s="186"/>
      <c r="GZ36" s="186"/>
      <c r="HA36" s="186"/>
      <c r="HB36" s="186"/>
      <c r="HC36" s="186"/>
      <c r="HD36" s="186"/>
      <c r="HE36" s="186"/>
      <c r="HF36" s="186"/>
      <c r="HG36" s="186"/>
      <c r="HH36" s="186"/>
      <c r="HI36" s="186"/>
      <c r="HJ36" s="186"/>
      <c r="HK36" s="186"/>
      <c r="HL36" s="186"/>
      <c r="HM36" s="186"/>
      <c r="HN36" s="186"/>
      <c r="HO36" s="186"/>
      <c r="HP36" s="186"/>
      <c r="HQ36" s="186"/>
      <c r="HR36" s="186"/>
      <c r="HS36" s="186"/>
      <c r="HT36" s="186"/>
      <c r="HU36" s="186"/>
      <c r="HV36" s="186"/>
      <c r="HW36" s="186"/>
      <c r="HX36" s="186"/>
      <c r="HY36" s="186"/>
      <c r="HZ36" s="186"/>
      <c r="IA36" s="186"/>
      <c r="IB36" s="186"/>
      <c r="IC36" s="186"/>
      <c r="ID36" s="186"/>
      <c r="IE36" s="186"/>
      <c r="IF36" s="186"/>
      <c r="IG36" s="186"/>
      <c r="IH36" s="186"/>
      <c r="II36" s="186"/>
      <c r="IJ36" s="186"/>
      <c r="IK36" s="186"/>
      <c r="IL36" s="186"/>
      <c r="IM36" s="186"/>
      <c r="IN36" s="186"/>
      <c r="IO36" s="186"/>
      <c r="IP36" s="186"/>
      <c r="IQ36" s="186"/>
      <c r="IR36" s="186"/>
      <c r="IS36" s="186"/>
      <c r="IT36" s="186"/>
      <c r="IU36" s="186"/>
    </row>
    <row r="37" spans="1:255" s="43" customFormat="1" ht="24" x14ac:dyDescent="0.2">
      <c r="A37" s="194">
        <v>26</v>
      </c>
      <c r="B37" s="195" t="s">
        <v>793</v>
      </c>
      <c r="C37" s="195" t="s">
        <v>824</v>
      </c>
      <c r="D37" s="195" t="s">
        <v>69</v>
      </c>
      <c r="E37" s="196">
        <f t="shared" si="0"/>
        <v>9</v>
      </c>
      <c r="F37" s="309" t="s">
        <v>910</v>
      </c>
      <c r="G37" s="310"/>
      <c r="H37" s="199" t="s">
        <v>825</v>
      </c>
      <c r="I37" s="199" t="s">
        <v>471</v>
      </c>
      <c r="N37" s="186"/>
      <c r="O37" s="186">
        <f t="shared" si="1"/>
        <v>9</v>
      </c>
      <c r="P37" s="186">
        <f>[6]Source!I91</f>
        <v>9</v>
      </c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6"/>
      <c r="DP37" s="186"/>
      <c r="DQ37" s="186"/>
      <c r="DR37" s="186"/>
      <c r="DS37" s="186"/>
      <c r="DT37" s="186"/>
      <c r="DU37" s="186"/>
      <c r="DV37" s="186"/>
      <c r="DW37" s="186"/>
      <c r="DX37" s="186"/>
      <c r="DY37" s="186"/>
      <c r="DZ37" s="186"/>
      <c r="EA37" s="186"/>
      <c r="EB37" s="186"/>
      <c r="EC37" s="186"/>
      <c r="ED37" s="186"/>
      <c r="EE37" s="186"/>
      <c r="EF37" s="186"/>
      <c r="EG37" s="186"/>
      <c r="EH37" s="186"/>
      <c r="EI37" s="186"/>
      <c r="EJ37" s="186"/>
      <c r="EK37" s="186"/>
      <c r="EL37" s="186"/>
      <c r="EM37" s="186"/>
      <c r="EN37" s="186"/>
      <c r="EO37" s="186"/>
      <c r="EP37" s="186"/>
      <c r="EQ37" s="186"/>
      <c r="ER37" s="186"/>
      <c r="ES37" s="186"/>
      <c r="ET37" s="186"/>
      <c r="EU37" s="186"/>
      <c r="EV37" s="186"/>
      <c r="EW37" s="186"/>
      <c r="EX37" s="186"/>
      <c r="EY37" s="186"/>
      <c r="EZ37" s="186"/>
      <c r="FA37" s="186"/>
      <c r="FB37" s="186"/>
      <c r="FC37" s="186"/>
      <c r="FD37" s="186"/>
      <c r="FE37" s="186"/>
      <c r="FF37" s="186"/>
      <c r="FG37" s="186"/>
      <c r="FH37" s="186"/>
      <c r="FI37" s="186"/>
      <c r="FJ37" s="186"/>
      <c r="FK37" s="186"/>
      <c r="FL37" s="186"/>
      <c r="FM37" s="186"/>
      <c r="FN37" s="186"/>
      <c r="FO37" s="186"/>
      <c r="FP37" s="186"/>
      <c r="FQ37" s="186"/>
      <c r="FR37" s="186"/>
      <c r="FS37" s="186"/>
      <c r="FT37" s="186"/>
      <c r="FU37" s="186"/>
      <c r="FV37" s="186"/>
      <c r="FW37" s="186"/>
      <c r="FX37" s="186"/>
      <c r="FY37" s="186"/>
      <c r="FZ37" s="186"/>
      <c r="GA37" s="186"/>
      <c r="GB37" s="186"/>
      <c r="GC37" s="186"/>
      <c r="GD37" s="186"/>
      <c r="GE37" s="186"/>
      <c r="GF37" s="186"/>
      <c r="GG37" s="186"/>
      <c r="GH37" s="186"/>
      <c r="GI37" s="186"/>
      <c r="GJ37" s="186"/>
      <c r="GK37" s="186"/>
      <c r="GL37" s="186"/>
      <c r="GM37" s="186"/>
      <c r="GN37" s="186"/>
      <c r="GO37" s="186"/>
      <c r="GP37" s="186"/>
      <c r="GQ37" s="186"/>
      <c r="GR37" s="186"/>
      <c r="GS37" s="186"/>
      <c r="GT37" s="186"/>
      <c r="GU37" s="186"/>
      <c r="GV37" s="186"/>
      <c r="GW37" s="186"/>
      <c r="GX37" s="186"/>
      <c r="GY37" s="186"/>
      <c r="GZ37" s="186"/>
      <c r="HA37" s="186"/>
      <c r="HB37" s="186"/>
      <c r="HC37" s="186"/>
      <c r="HD37" s="186"/>
      <c r="HE37" s="186"/>
      <c r="HF37" s="186"/>
      <c r="HG37" s="186"/>
      <c r="HH37" s="186"/>
      <c r="HI37" s="186"/>
      <c r="HJ37" s="186"/>
      <c r="HK37" s="186"/>
      <c r="HL37" s="186"/>
      <c r="HM37" s="186"/>
      <c r="HN37" s="186"/>
      <c r="HO37" s="186"/>
      <c r="HP37" s="186"/>
      <c r="HQ37" s="186"/>
      <c r="HR37" s="186"/>
      <c r="HS37" s="186"/>
      <c r="HT37" s="186"/>
      <c r="HU37" s="186"/>
      <c r="HV37" s="186"/>
      <c r="HW37" s="186"/>
      <c r="HX37" s="186"/>
      <c r="HY37" s="186"/>
      <c r="HZ37" s="186"/>
      <c r="IA37" s="186"/>
      <c r="IB37" s="186"/>
      <c r="IC37" s="186"/>
      <c r="ID37" s="186"/>
      <c r="IE37" s="186"/>
      <c r="IF37" s="186"/>
      <c r="IG37" s="186"/>
      <c r="IH37" s="186"/>
      <c r="II37" s="186"/>
      <c r="IJ37" s="186"/>
      <c r="IK37" s="186"/>
      <c r="IL37" s="186"/>
      <c r="IM37" s="186"/>
      <c r="IN37" s="186"/>
      <c r="IO37" s="186"/>
      <c r="IP37" s="186"/>
      <c r="IQ37" s="186"/>
      <c r="IR37" s="186"/>
      <c r="IS37" s="186"/>
      <c r="IT37" s="186"/>
      <c r="IU37" s="186"/>
    </row>
    <row r="38" spans="1:255" s="43" customFormat="1" ht="24" x14ac:dyDescent="0.2">
      <c r="A38" s="194">
        <v>28</v>
      </c>
      <c r="B38" s="195" t="s">
        <v>793</v>
      </c>
      <c r="C38" s="195" t="s">
        <v>826</v>
      </c>
      <c r="D38" s="195" t="s">
        <v>69</v>
      </c>
      <c r="E38" s="196">
        <f t="shared" si="0"/>
        <v>1</v>
      </c>
      <c r="F38" s="309" t="s">
        <v>910</v>
      </c>
      <c r="G38" s="310"/>
      <c r="H38" s="199" t="s">
        <v>827</v>
      </c>
      <c r="I38" s="199" t="s">
        <v>471</v>
      </c>
      <c r="N38" s="186"/>
      <c r="O38" s="186">
        <f t="shared" si="1"/>
        <v>1</v>
      </c>
      <c r="P38" s="186">
        <f>[6]Source!I101</f>
        <v>1</v>
      </c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186"/>
      <c r="FL38" s="186"/>
      <c r="FM38" s="186"/>
      <c r="FN38" s="186"/>
      <c r="FO38" s="186"/>
      <c r="FP38" s="186"/>
      <c r="FQ38" s="186"/>
      <c r="FR38" s="186"/>
      <c r="FS38" s="186"/>
      <c r="FT38" s="186"/>
      <c r="FU38" s="186"/>
      <c r="FV38" s="186"/>
      <c r="FW38" s="186"/>
      <c r="FX38" s="186"/>
      <c r="FY38" s="186"/>
      <c r="FZ38" s="186"/>
      <c r="GA38" s="186"/>
      <c r="GB38" s="186"/>
      <c r="GC38" s="186"/>
      <c r="GD38" s="186"/>
      <c r="GE38" s="186"/>
      <c r="GF38" s="186"/>
      <c r="GG38" s="186"/>
      <c r="GH38" s="186"/>
      <c r="GI38" s="186"/>
      <c r="GJ38" s="186"/>
      <c r="GK38" s="186"/>
      <c r="GL38" s="186"/>
      <c r="GM38" s="186"/>
      <c r="GN38" s="186"/>
      <c r="GO38" s="186"/>
      <c r="GP38" s="186"/>
      <c r="GQ38" s="186"/>
      <c r="GR38" s="186"/>
      <c r="GS38" s="186"/>
      <c r="GT38" s="186"/>
      <c r="GU38" s="186"/>
      <c r="GV38" s="186"/>
      <c r="GW38" s="186"/>
      <c r="GX38" s="186"/>
      <c r="GY38" s="186"/>
      <c r="GZ38" s="186"/>
      <c r="HA38" s="186"/>
      <c r="HB38" s="186"/>
      <c r="HC38" s="186"/>
      <c r="HD38" s="186"/>
      <c r="HE38" s="186"/>
      <c r="HF38" s="186"/>
      <c r="HG38" s="186"/>
      <c r="HH38" s="186"/>
      <c r="HI38" s="186"/>
      <c r="HJ38" s="186"/>
      <c r="HK38" s="186"/>
      <c r="HL38" s="186"/>
      <c r="HM38" s="186"/>
      <c r="HN38" s="186"/>
      <c r="HO38" s="186"/>
      <c r="HP38" s="186"/>
      <c r="HQ38" s="186"/>
      <c r="HR38" s="186"/>
      <c r="HS38" s="186"/>
      <c r="HT38" s="186"/>
      <c r="HU38" s="186"/>
      <c r="HV38" s="186"/>
      <c r="HW38" s="186"/>
      <c r="HX38" s="186"/>
      <c r="HY38" s="186"/>
      <c r="HZ38" s="186"/>
      <c r="IA38" s="186"/>
      <c r="IB38" s="186"/>
      <c r="IC38" s="186"/>
      <c r="ID38" s="186"/>
      <c r="IE38" s="186"/>
      <c r="IF38" s="186"/>
      <c r="IG38" s="186"/>
      <c r="IH38" s="186"/>
      <c r="II38" s="186"/>
      <c r="IJ38" s="186"/>
      <c r="IK38" s="186"/>
      <c r="IL38" s="186"/>
      <c r="IM38" s="186"/>
      <c r="IN38" s="186"/>
      <c r="IO38" s="186"/>
      <c r="IP38" s="186"/>
      <c r="IQ38" s="186"/>
      <c r="IR38" s="186"/>
      <c r="IS38" s="186"/>
      <c r="IT38" s="186"/>
      <c r="IU38" s="186"/>
    </row>
    <row r="39" spans="1:255" s="43" customFormat="1" ht="24" x14ac:dyDescent="0.2">
      <c r="A39" s="194">
        <v>33</v>
      </c>
      <c r="B39" s="195" t="s">
        <v>793</v>
      </c>
      <c r="C39" s="195" t="s">
        <v>828</v>
      </c>
      <c r="D39" s="195" t="s">
        <v>69</v>
      </c>
      <c r="E39" s="196">
        <f t="shared" si="0"/>
        <v>80</v>
      </c>
      <c r="F39" s="309" t="s">
        <v>910</v>
      </c>
      <c r="G39" s="310"/>
      <c r="H39" s="199" t="s">
        <v>829</v>
      </c>
      <c r="I39" s="199" t="s">
        <v>471</v>
      </c>
      <c r="N39" s="186"/>
      <c r="O39" s="186">
        <f t="shared" si="1"/>
        <v>80</v>
      </c>
      <c r="P39" s="186">
        <f>[6]Source!I125</f>
        <v>80</v>
      </c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  <c r="BI39" s="186"/>
      <c r="BJ39" s="186"/>
      <c r="BK39" s="186"/>
      <c r="BL39" s="186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  <c r="CP39" s="186"/>
      <c r="CQ39" s="186"/>
      <c r="CR39" s="186"/>
      <c r="CS39" s="186"/>
      <c r="CT39" s="186"/>
      <c r="CU39" s="186"/>
      <c r="CV39" s="186"/>
      <c r="CW39" s="186"/>
      <c r="CX39" s="186"/>
      <c r="CY39" s="186"/>
      <c r="CZ39" s="186"/>
      <c r="DA39" s="186"/>
      <c r="DB39" s="186"/>
      <c r="DC39" s="186"/>
      <c r="DD39" s="186"/>
      <c r="DE39" s="186"/>
      <c r="DF39" s="186"/>
      <c r="DG39" s="186"/>
      <c r="DH39" s="186"/>
      <c r="DI39" s="186"/>
      <c r="DJ39" s="186"/>
      <c r="DK39" s="186"/>
      <c r="DL39" s="186"/>
      <c r="DM39" s="186"/>
      <c r="DN39" s="186"/>
      <c r="DO39" s="186"/>
      <c r="DP39" s="186"/>
      <c r="DQ39" s="186"/>
      <c r="DR39" s="186"/>
      <c r="DS39" s="186"/>
      <c r="DT39" s="186"/>
      <c r="DU39" s="186"/>
      <c r="DV39" s="186"/>
      <c r="DW39" s="186"/>
      <c r="DX39" s="186"/>
      <c r="DY39" s="186"/>
      <c r="DZ39" s="186"/>
      <c r="EA39" s="186"/>
      <c r="EB39" s="186"/>
      <c r="EC39" s="186"/>
      <c r="ED39" s="186"/>
      <c r="EE39" s="186"/>
      <c r="EF39" s="186"/>
      <c r="EG39" s="186"/>
      <c r="EH39" s="186"/>
      <c r="EI39" s="186"/>
      <c r="EJ39" s="186"/>
      <c r="EK39" s="186"/>
      <c r="EL39" s="186"/>
      <c r="EM39" s="186"/>
      <c r="EN39" s="186"/>
      <c r="EO39" s="186"/>
      <c r="EP39" s="186"/>
      <c r="EQ39" s="186"/>
      <c r="ER39" s="186"/>
      <c r="ES39" s="186"/>
      <c r="ET39" s="186"/>
      <c r="EU39" s="186"/>
      <c r="EV39" s="186"/>
      <c r="EW39" s="186"/>
      <c r="EX39" s="186"/>
      <c r="EY39" s="186"/>
      <c r="EZ39" s="186"/>
      <c r="FA39" s="186"/>
      <c r="FB39" s="186"/>
      <c r="FC39" s="186"/>
      <c r="FD39" s="186"/>
      <c r="FE39" s="186"/>
      <c r="FF39" s="186"/>
      <c r="FG39" s="186"/>
      <c r="FH39" s="186"/>
      <c r="FI39" s="186"/>
      <c r="FJ39" s="186"/>
      <c r="FK39" s="186"/>
      <c r="FL39" s="186"/>
      <c r="FM39" s="186"/>
      <c r="FN39" s="186"/>
      <c r="FO39" s="186"/>
      <c r="FP39" s="186"/>
      <c r="FQ39" s="186"/>
      <c r="FR39" s="186"/>
      <c r="FS39" s="186"/>
      <c r="FT39" s="186"/>
      <c r="FU39" s="186"/>
      <c r="FV39" s="186"/>
      <c r="FW39" s="186"/>
      <c r="FX39" s="186"/>
      <c r="FY39" s="186"/>
      <c r="FZ39" s="186"/>
      <c r="GA39" s="186"/>
      <c r="GB39" s="186"/>
      <c r="GC39" s="186"/>
      <c r="GD39" s="186"/>
      <c r="GE39" s="186"/>
      <c r="GF39" s="186"/>
      <c r="GG39" s="186"/>
      <c r="GH39" s="186"/>
      <c r="GI39" s="186"/>
      <c r="GJ39" s="186"/>
      <c r="GK39" s="186"/>
      <c r="GL39" s="186"/>
      <c r="GM39" s="186"/>
      <c r="GN39" s="186"/>
      <c r="GO39" s="186"/>
      <c r="GP39" s="186"/>
      <c r="GQ39" s="186"/>
      <c r="GR39" s="186"/>
      <c r="GS39" s="186"/>
      <c r="GT39" s="186"/>
      <c r="GU39" s="186"/>
      <c r="GV39" s="186"/>
      <c r="GW39" s="186"/>
      <c r="GX39" s="186"/>
      <c r="GY39" s="186"/>
      <c r="GZ39" s="186"/>
      <c r="HA39" s="186"/>
      <c r="HB39" s="186"/>
      <c r="HC39" s="186"/>
      <c r="HD39" s="186"/>
      <c r="HE39" s="186"/>
      <c r="HF39" s="186"/>
      <c r="HG39" s="186"/>
      <c r="HH39" s="186"/>
      <c r="HI39" s="186"/>
      <c r="HJ39" s="186"/>
      <c r="HK39" s="186"/>
      <c r="HL39" s="186"/>
      <c r="HM39" s="186"/>
      <c r="HN39" s="186"/>
      <c r="HO39" s="186"/>
      <c r="HP39" s="186"/>
      <c r="HQ39" s="186"/>
      <c r="HR39" s="186"/>
      <c r="HS39" s="186"/>
      <c r="HT39" s="186"/>
      <c r="HU39" s="186"/>
      <c r="HV39" s="186"/>
      <c r="HW39" s="186"/>
      <c r="HX39" s="186"/>
      <c r="HY39" s="186"/>
      <c r="HZ39" s="186"/>
      <c r="IA39" s="186"/>
      <c r="IB39" s="186"/>
      <c r="IC39" s="186"/>
      <c r="ID39" s="186"/>
      <c r="IE39" s="186"/>
      <c r="IF39" s="186"/>
      <c r="IG39" s="186"/>
      <c r="IH39" s="186"/>
      <c r="II39" s="186"/>
      <c r="IJ39" s="186"/>
      <c r="IK39" s="186"/>
      <c r="IL39" s="186"/>
      <c r="IM39" s="186"/>
      <c r="IN39" s="186"/>
      <c r="IO39" s="186"/>
      <c r="IP39" s="186"/>
      <c r="IQ39" s="186"/>
      <c r="IR39" s="186"/>
      <c r="IS39" s="186"/>
      <c r="IT39" s="186"/>
      <c r="IU39" s="186"/>
    </row>
    <row r="40" spans="1:255" s="43" customFormat="1" ht="24" x14ac:dyDescent="0.2">
      <c r="A40" s="194">
        <v>34</v>
      </c>
      <c r="B40" s="195" t="s">
        <v>793</v>
      </c>
      <c r="C40" s="195" t="s">
        <v>830</v>
      </c>
      <c r="D40" s="195" t="s">
        <v>69</v>
      </c>
      <c r="E40" s="196">
        <f t="shared" si="0"/>
        <v>159</v>
      </c>
      <c r="F40" s="309" t="s">
        <v>910</v>
      </c>
      <c r="G40" s="310"/>
      <c r="H40" s="199" t="s">
        <v>831</v>
      </c>
      <c r="I40" s="199" t="s">
        <v>471</v>
      </c>
      <c r="N40" s="186"/>
      <c r="O40" s="186">
        <f t="shared" si="1"/>
        <v>159</v>
      </c>
      <c r="P40" s="186">
        <f>[6]Source!I121</f>
        <v>159</v>
      </c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  <c r="DO40" s="186"/>
      <c r="DP40" s="186"/>
      <c r="DQ40" s="186"/>
      <c r="DR40" s="186"/>
      <c r="DS40" s="186"/>
      <c r="DT40" s="186"/>
      <c r="DU40" s="186"/>
      <c r="DV40" s="186"/>
      <c r="DW40" s="186"/>
      <c r="DX40" s="186"/>
      <c r="DY40" s="186"/>
      <c r="DZ40" s="186"/>
      <c r="EA40" s="186"/>
      <c r="EB40" s="186"/>
      <c r="EC40" s="186"/>
      <c r="ED40" s="186"/>
      <c r="EE40" s="186"/>
      <c r="EF40" s="186"/>
      <c r="EG40" s="186"/>
      <c r="EH40" s="186"/>
      <c r="EI40" s="186"/>
      <c r="EJ40" s="186"/>
      <c r="EK40" s="186"/>
      <c r="EL40" s="186"/>
      <c r="EM40" s="186"/>
      <c r="EN40" s="186"/>
      <c r="EO40" s="186"/>
      <c r="EP40" s="186"/>
      <c r="EQ40" s="186"/>
      <c r="ER40" s="186"/>
      <c r="ES40" s="186"/>
      <c r="ET40" s="186"/>
      <c r="EU40" s="186"/>
      <c r="EV40" s="186"/>
      <c r="EW40" s="186"/>
      <c r="EX40" s="186"/>
      <c r="EY40" s="186"/>
      <c r="EZ40" s="186"/>
      <c r="FA40" s="186"/>
      <c r="FB40" s="186"/>
      <c r="FC40" s="186"/>
      <c r="FD40" s="186"/>
      <c r="FE40" s="186"/>
      <c r="FF40" s="186"/>
      <c r="FG40" s="186"/>
      <c r="FH40" s="186"/>
      <c r="FI40" s="186"/>
      <c r="FJ40" s="186"/>
      <c r="FK40" s="186"/>
      <c r="FL40" s="186"/>
      <c r="FM40" s="186"/>
      <c r="FN40" s="186"/>
      <c r="FO40" s="186"/>
      <c r="FP40" s="186"/>
      <c r="FQ40" s="186"/>
      <c r="FR40" s="186"/>
      <c r="FS40" s="186"/>
      <c r="FT40" s="186"/>
      <c r="FU40" s="186"/>
      <c r="FV40" s="186"/>
      <c r="FW40" s="186"/>
      <c r="FX40" s="186"/>
      <c r="FY40" s="186"/>
      <c r="FZ40" s="186"/>
      <c r="GA40" s="186"/>
      <c r="GB40" s="186"/>
      <c r="GC40" s="186"/>
      <c r="GD40" s="186"/>
      <c r="GE40" s="186"/>
      <c r="GF40" s="186"/>
      <c r="GG40" s="186"/>
      <c r="GH40" s="186"/>
      <c r="GI40" s="186"/>
      <c r="GJ40" s="186"/>
      <c r="GK40" s="186"/>
      <c r="GL40" s="186"/>
      <c r="GM40" s="186"/>
      <c r="GN40" s="186"/>
      <c r="GO40" s="186"/>
      <c r="GP40" s="186"/>
      <c r="GQ40" s="186"/>
      <c r="GR40" s="186"/>
      <c r="GS40" s="186"/>
      <c r="GT40" s="186"/>
      <c r="GU40" s="186"/>
      <c r="GV40" s="186"/>
      <c r="GW40" s="186"/>
      <c r="GX40" s="186"/>
      <c r="GY40" s="186"/>
      <c r="GZ40" s="186"/>
      <c r="HA40" s="186"/>
      <c r="HB40" s="186"/>
      <c r="HC40" s="186"/>
      <c r="HD40" s="186"/>
      <c r="HE40" s="186"/>
      <c r="HF40" s="186"/>
      <c r="HG40" s="186"/>
      <c r="HH40" s="186"/>
      <c r="HI40" s="186"/>
      <c r="HJ40" s="186"/>
      <c r="HK40" s="186"/>
      <c r="HL40" s="186"/>
      <c r="HM40" s="186"/>
      <c r="HN40" s="186"/>
      <c r="HO40" s="186"/>
      <c r="HP40" s="186"/>
      <c r="HQ40" s="186"/>
      <c r="HR40" s="186"/>
      <c r="HS40" s="186"/>
      <c r="HT40" s="186"/>
      <c r="HU40" s="186"/>
      <c r="HV40" s="186"/>
      <c r="HW40" s="186"/>
      <c r="HX40" s="186"/>
      <c r="HY40" s="186"/>
      <c r="HZ40" s="186"/>
      <c r="IA40" s="186"/>
      <c r="IB40" s="186"/>
      <c r="IC40" s="186"/>
      <c r="ID40" s="186"/>
      <c r="IE40" s="186"/>
      <c r="IF40" s="186"/>
      <c r="IG40" s="186"/>
      <c r="IH40" s="186"/>
      <c r="II40" s="186"/>
      <c r="IJ40" s="186"/>
      <c r="IK40" s="186"/>
      <c r="IL40" s="186"/>
      <c r="IM40" s="186"/>
      <c r="IN40" s="186"/>
      <c r="IO40" s="186"/>
      <c r="IP40" s="186"/>
      <c r="IQ40" s="186"/>
      <c r="IR40" s="186"/>
      <c r="IS40" s="186"/>
      <c r="IT40" s="186"/>
      <c r="IU40" s="186"/>
    </row>
    <row r="42" spans="1:255" hidden="1" x14ac:dyDescent="0.2"/>
    <row r="43" spans="1:255" hidden="1" x14ac:dyDescent="0.2">
      <c r="A43" s="175" t="s">
        <v>438</v>
      </c>
      <c r="B43" s="175"/>
      <c r="C43" s="264" t="s">
        <v>439</v>
      </c>
      <c r="D43" s="176"/>
      <c r="E43" s="176"/>
      <c r="F43" s="274" t="s">
        <v>440</v>
      </c>
      <c r="G43" s="274"/>
      <c r="BY43" s="177" t="str">
        <f>C43</f>
        <v>Начальник ПТС ООО "ОСУ-2"</v>
      </c>
      <c r="BZ43" s="177" t="str">
        <f>F43</f>
        <v>Когтев В.И.</v>
      </c>
      <c r="IU43" s="23"/>
    </row>
    <row r="44" spans="1:255" s="202" customFormat="1" ht="11.25" hidden="1" x14ac:dyDescent="0.2">
      <c r="A44" s="201"/>
      <c r="B44" s="201"/>
      <c r="C44" s="286" t="s">
        <v>434</v>
      </c>
      <c r="D44" s="286"/>
      <c r="E44" s="286"/>
      <c r="F44" s="286" t="s">
        <v>435</v>
      </c>
      <c r="G44" s="286"/>
    </row>
    <row r="45" spans="1:255" hidden="1" x14ac:dyDescent="0.2">
      <c r="A45" s="18"/>
      <c r="B45" s="18"/>
      <c r="C45" s="18"/>
      <c r="D45" s="11" t="s">
        <v>436</v>
      </c>
      <c r="E45" s="18"/>
      <c r="F45" s="18"/>
      <c r="G45" s="18"/>
    </row>
    <row r="46" spans="1:255" hidden="1" x14ac:dyDescent="0.2">
      <c r="A46" s="175" t="s">
        <v>441</v>
      </c>
      <c r="B46" s="175"/>
      <c r="C46" s="264" t="s">
        <v>10</v>
      </c>
      <c r="D46" s="176"/>
      <c r="E46" s="176"/>
      <c r="F46" s="274" t="s">
        <v>9</v>
      </c>
      <c r="G46" s="274"/>
      <c r="BY46" s="177" t="str">
        <f>C46</f>
        <v>инженер-сметчик</v>
      </c>
      <c r="BZ46" s="177" t="str">
        <f>F46</f>
        <v>Бобрышева И.В</v>
      </c>
      <c r="IU46" s="23"/>
    </row>
    <row r="47" spans="1:255" s="202" customFormat="1" ht="11.25" hidden="1" x14ac:dyDescent="0.2">
      <c r="A47" s="201"/>
      <c r="B47" s="201"/>
      <c r="C47" s="286" t="s">
        <v>434</v>
      </c>
      <c r="D47" s="286"/>
      <c r="E47" s="286"/>
      <c r="F47" s="286" t="s">
        <v>435</v>
      </c>
      <c r="G47" s="286"/>
    </row>
    <row r="48" spans="1:255" hidden="1" x14ac:dyDescent="0.2">
      <c r="A48" s="18"/>
      <c r="B48" s="18"/>
      <c r="C48" s="18"/>
      <c r="D48" s="11" t="s">
        <v>436</v>
      </c>
      <c r="E48" s="18"/>
      <c r="F48" s="18"/>
      <c r="G48" s="18"/>
    </row>
    <row r="49" spans="1:255" ht="22.5" hidden="1" x14ac:dyDescent="0.2">
      <c r="A49" s="175" t="s">
        <v>442</v>
      </c>
      <c r="B49" s="175"/>
      <c r="C49" s="264" t="s">
        <v>12</v>
      </c>
      <c r="D49" s="176"/>
      <c r="E49" s="176"/>
      <c r="F49" s="274" t="s">
        <v>11</v>
      </c>
      <c r="G49" s="274"/>
      <c r="BY49" s="177" t="str">
        <f>C49</f>
        <v>Главный инженер сметчик СРС ООО "ОДСК-Инжиниринг"</v>
      </c>
      <c r="BZ49" s="177" t="str">
        <f>F49</f>
        <v>Кузнецова У.И.</v>
      </c>
      <c r="IU49" s="23"/>
    </row>
    <row r="50" spans="1:255" s="202" customFormat="1" ht="11.25" hidden="1" x14ac:dyDescent="0.2">
      <c r="A50" s="201"/>
      <c r="B50" s="201"/>
      <c r="C50" s="286" t="s">
        <v>434</v>
      </c>
      <c r="D50" s="286"/>
      <c r="E50" s="286"/>
      <c r="F50" s="286" t="s">
        <v>435</v>
      </c>
      <c r="G50" s="286"/>
    </row>
    <row r="51" spans="1:255" hidden="1" x14ac:dyDescent="0.2">
      <c r="A51" s="18"/>
      <c r="B51" s="18"/>
      <c r="C51" s="18"/>
      <c r="D51" s="11" t="s">
        <v>436</v>
      </c>
      <c r="E51" s="18"/>
      <c r="F51" s="18"/>
      <c r="G51" s="18"/>
    </row>
    <row r="52" spans="1:255" hidden="1" x14ac:dyDescent="0.2"/>
  </sheetData>
  <sheetProtection sheet="1" objects="1" scenarios="1"/>
  <mergeCells count="40">
    <mergeCell ref="F40:G40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9:G49"/>
    <mergeCell ref="C50:E50"/>
    <mergeCell ref="F50:G50"/>
    <mergeCell ref="F22:G22"/>
    <mergeCell ref="F23:G23"/>
    <mergeCell ref="F24:G24"/>
    <mergeCell ref="F25:G25"/>
    <mergeCell ref="F26:G26"/>
    <mergeCell ref="F27:G27"/>
    <mergeCell ref="F28:G28"/>
    <mergeCell ref="F43:G43"/>
    <mergeCell ref="C44:E44"/>
    <mergeCell ref="F44:G44"/>
    <mergeCell ref="F46:G46"/>
    <mergeCell ref="C47:E47"/>
    <mergeCell ref="F47:G47"/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20</vt:i4>
      </vt:variant>
    </vt:vector>
  </HeadingPairs>
  <TitlesOfParts>
    <vt:vector size="38" baseType="lpstr">
      <vt:lpstr>5.Ведомость_списания</vt:lpstr>
      <vt:lpstr>4.Ресурсный_расчет</vt:lpstr>
      <vt:lpstr>ТЗ </vt:lpstr>
      <vt:lpstr>1.Материалы</vt:lpstr>
      <vt:lpstr>2.Материалы</vt:lpstr>
      <vt:lpstr>3.Материалы</vt:lpstr>
      <vt:lpstr>4.Материалы</vt:lpstr>
      <vt:lpstr>5.Материалы</vt:lpstr>
      <vt:lpstr>6.Материалы</vt:lpstr>
      <vt:lpstr>SourceOb.2</vt:lpstr>
      <vt:lpstr>1.Лок.смета.и.Акт</vt:lpstr>
      <vt:lpstr>SourceOb.1</vt:lpstr>
      <vt:lpstr>Source</vt:lpstr>
      <vt:lpstr>SourceObSm</vt:lpstr>
      <vt:lpstr>SmtRes</vt:lpstr>
      <vt:lpstr>EtalonRes</vt:lpstr>
      <vt:lpstr>SrcPoprs</vt:lpstr>
      <vt:lpstr>SrcKA</vt:lpstr>
      <vt:lpstr>'1.Лок.смета.и.Акт'!Заголовки_для_печати</vt:lpstr>
      <vt:lpstr>'1.Материалы'!Заголовки_для_печати</vt:lpstr>
      <vt:lpstr>'2.Материалы'!Заголовки_для_печати</vt:lpstr>
      <vt:lpstr>'3.Материалы'!Заголовки_для_печати</vt:lpstr>
      <vt:lpstr>'4.Материалы'!Заголовки_для_печати</vt:lpstr>
      <vt:lpstr>'4.Ресурсный_расчет'!Заголовки_для_печати</vt:lpstr>
      <vt:lpstr>'5.Ведомость_списания'!Заголовки_для_печати</vt:lpstr>
      <vt:lpstr>'5.Материалы'!Заголовки_для_печати</vt:lpstr>
      <vt:lpstr>'6.Материалы'!Заголовки_для_печати</vt:lpstr>
      <vt:lpstr>'ТЗ '!Заголовки_для_печати</vt:lpstr>
      <vt:lpstr>'1.Лок.смета.и.Акт'!Область_печати</vt:lpstr>
      <vt:lpstr>'1.Материалы'!Область_печати</vt:lpstr>
      <vt:lpstr>'2.Материалы'!Область_печати</vt:lpstr>
      <vt:lpstr>'3.Материалы'!Область_печати</vt:lpstr>
      <vt:lpstr>'4.Материалы'!Область_печати</vt:lpstr>
      <vt:lpstr>'4.Ресурсный_расчет'!Область_печати</vt:lpstr>
      <vt:lpstr>'5.Ведомость_списания'!Область_печати</vt:lpstr>
      <vt:lpstr>'5.Материалы'!Область_печати</vt:lpstr>
      <vt:lpstr>'6.Материалы'!Область_печати</vt:lpstr>
      <vt:lpstr>'ТЗ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Ионова Елизавета Борисовна</dc:creator>
  <cp:lastModifiedBy>Ионова Елизавета Борисовна</cp:lastModifiedBy>
  <cp:lastPrinted>2025-07-22T05:16:21Z</cp:lastPrinted>
  <dcterms:created xsi:type="dcterms:W3CDTF">2025-06-04T09:45:05Z</dcterms:created>
  <dcterms:modified xsi:type="dcterms:W3CDTF">2025-07-24T08:44:48Z</dcterms:modified>
</cp:coreProperties>
</file>